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C:\Users\lenovo-lap\Desktop\قدامى ف1 2024-2025\استمارات طلاب الثورة\"/>
    </mc:Choice>
  </mc:AlternateContent>
  <xr:revisionPtr revIDLastSave="0" documentId="13_ncr:1_{24C0F3E7-74A7-433C-B49C-E8B4D8CA8B29}" xr6:coauthVersionLast="47" xr6:coauthVersionMax="47" xr10:uidLastSave="{00000000-0000-0000-0000-000000000000}"/>
  <bookViews>
    <workbookView xWindow="-108" yWindow="-108" windowWidth="23256" windowHeight="12576" xr2:uid="{00000000-000D-0000-FFFF-FFFF00000000}"/>
  </bookViews>
  <sheets>
    <sheet name="تعليمات التسجيل" sheetId="14" r:id="rId1"/>
    <sheet name="إدخال البيانات" sheetId="18" r:id="rId2"/>
    <sheet name="اختيار المقررات" sheetId="5" r:id="rId3"/>
    <sheet name="الإستمارة" sheetId="11" r:id="rId4"/>
    <sheet name="med" sheetId="17" r:id="rId5"/>
  </sheets>
  <definedNames>
    <definedName name="_xlnm._FilterDatabase" localSheetId="1" hidden="1">'إدخال البيانات'!$I$6:$I$19</definedName>
    <definedName name="_xlnm.Print_Area" localSheetId="3">الإستمارة!$A$1:$R$42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 i="5" l="1"/>
  <c r="L3" i="5" l="1"/>
  <c r="E3" i="5"/>
  <c r="AE4" i="5"/>
  <c r="Q4" i="5"/>
  <c r="L4" i="5"/>
  <c r="E4" i="5"/>
  <c r="AB3" i="5"/>
  <c r="Q3" i="5"/>
  <c r="AB2" i="5"/>
  <c r="W2" i="5"/>
  <c r="Q2" i="5"/>
  <c r="L2" i="5"/>
  <c r="E2" i="5"/>
  <c r="AE1" i="5"/>
  <c r="AB1" i="5"/>
  <c r="W1" i="5"/>
  <c r="Q1" i="5"/>
  <c r="L1" i="5"/>
  <c r="E1" i="5" l="1"/>
  <c r="B46" i="5" l="1"/>
  <c r="B8" i="5"/>
  <c r="B45" i="5"/>
  <c r="DE5" i="17" l="1"/>
  <c r="CY5" i="17"/>
  <c r="G39" i="11"/>
  <c r="V31" i="11"/>
  <c r="V30" i="11"/>
  <c r="V29" i="11"/>
  <c r="V28" i="11"/>
  <c r="J25" i="11"/>
  <c r="AE22" i="11"/>
  <c r="E22" i="11"/>
  <c r="Z11" i="11"/>
  <c r="Y11" i="11" s="1"/>
  <c r="Z7" i="11"/>
  <c r="Y7" i="11" s="1"/>
  <c r="Z6" i="11"/>
  <c r="Y6" i="11" s="1"/>
  <c r="Z5" i="11"/>
  <c r="Y5" i="11" s="1"/>
  <c r="AD1" i="11"/>
  <c r="B1" i="11"/>
  <c r="AX45" i="5"/>
  <c r="AW45" i="5"/>
  <c r="AV45" i="5"/>
  <c r="AX44" i="5"/>
  <c r="AW44" i="5"/>
  <c r="AV44" i="5"/>
  <c r="AX43" i="5"/>
  <c r="AW43" i="5"/>
  <c r="AV43" i="5"/>
  <c r="AX42" i="5"/>
  <c r="AW42" i="5"/>
  <c r="AV42" i="5"/>
  <c r="AX41" i="5"/>
  <c r="AW41" i="5"/>
  <c r="AV41" i="5"/>
  <c r="AX40" i="5"/>
  <c r="AW40" i="5"/>
  <c r="AV40" i="5"/>
  <c r="AX39" i="5"/>
  <c r="AW39" i="5"/>
  <c r="AV39" i="5"/>
  <c r="AX38" i="5"/>
  <c r="AW38" i="5"/>
  <c r="AV38" i="5"/>
  <c r="AX37" i="5"/>
  <c r="AW37" i="5"/>
  <c r="AV37" i="5"/>
  <c r="AX36" i="5"/>
  <c r="AW36" i="5"/>
  <c r="AV36" i="5"/>
  <c r="AX35" i="5"/>
  <c r="AW35" i="5"/>
  <c r="AV35" i="5"/>
  <c r="AX34" i="5"/>
  <c r="AW34" i="5"/>
  <c r="AV34" i="5"/>
  <c r="AX33" i="5"/>
  <c r="AW33" i="5"/>
  <c r="AV33" i="5"/>
  <c r="AX32" i="5"/>
  <c r="AW32" i="5"/>
  <c r="AV32" i="5"/>
  <c r="AX31" i="5"/>
  <c r="AW31" i="5"/>
  <c r="AV31" i="5"/>
  <c r="AX30" i="5"/>
  <c r="AW30" i="5"/>
  <c r="AV30" i="5"/>
  <c r="AX29" i="5"/>
  <c r="AW29" i="5"/>
  <c r="AV29" i="5"/>
  <c r="AX28" i="5"/>
  <c r="AW28" i="5"/>
  <c r="AV28" i="5"/>
  <c r="AX26" i="5"/>
  <c r="AW26" i="5"/>
  <c r="AV26" i="5"/>
  <c r="AX25" i="5"/>
  <c r="AW25" i="5"/>
  <c r="AV25" i="5"/>
  <c r="AX24" i="5"/>
  <c r="AW24" i="5"/>
  <c r="AV24" i="5"/>
  <c r="AX23" i="5"/>
  <c r="AW23" i="5"/>
  <c r="AV23" i="5"/>
  <c r="AX22" i="5"/>
  <c r="AW22" i="5"/>
  <c r="AV22" i="5"/>
  <c r="AX21" i="5"/>
  <c r="AW21" i="5"/>
  <c r="AV21" i="5"/>
  <c r="AX20" i="5"/>
  <c r="AW20" i="5"/>
  <c r="AV20" i="5"/>
  <c r="AX19" i="5"/>
  <c r="AW19" i="5"/>
  <c r="AV19" i="5"/>
  <c r="AX18" i="5"/>
  <c r="AW18" i="5"/>
  <c r="AV18" i="5"/>
  <c r="AX17" i="5"/>
  <c r="AW17" i="5"/>
  <c r="AV17" i="5"/>
  <c r="AX16" i="5"/>
  <c r="AW16" i="5"/>
  <c r="AV16" i="5"/>
  <c r="AX15" i="5"/>
  <c r="AW15" i="5"/>
  <c r="AV15" i="5"/>
  <c r="AX14" i="5"/>
  <c r="AW14" i="5"/>
  <c r="AV14" i="5"/>
  <c r="AX13" i="5"/>
  <c r="AW13" i="5"/>
  <c r="AV13" i="5"/>
  <c r="AX12" i="5"/>
  <c r="AW12" i="5"/>
  <c r="AV12" i="5"/>
  <c r="AX11" i="5"/>
  <c r="AW11" i="5"/>
  <c r="AV11" i="5"/>
  <c r="AX10" i="5"/>
  <c r="AW10" i="5"/>
  <c r="AV10" i="5"/>
  <c r="AX9" i="5"/>
  <c r="AW9" i="5"/>
  <c r="AV9" i="5"/>
  <c r="AX8" i="5"/>
  <c r="AW8" i="5"/>
  <c r="AV8" i="5"/>
  <c r="AX7" i="5"/>
  <c r="AW7" i="5"/>
  <c r="AV7" i="5"/>
  <c r="AX6" i="5"/>
  <c r="AW6" i="5"/>
  <c r="AV6" i="5"/>
  <c r="AX5" i="5"/>
  <c r="AW5" i="5"/>
  <c r="AV5" i="5"/>
  <c r="K7" i="11"/>
  <c r="Z22" i="11" s="1"/>
  <c r="Y22" i="11" s="1"/>
  <c r="AB4" i="5"/>
  <c r="H7" i="11" s="1"/>
  <c r="Z21" i="11" s="1"/>
  <c r="Y21" i="11" s="1"/>
  <c r="W4" i="5"/>
  <c r="M5" i="17" s="1"/>
  <c r="AK2" i="5"/>
  <c r="DL5" i="17"/>
  <c r="DM5" i="17"/>
  <c r="DN5" i="17"/>
  <c r="DO5" i="17"/>
  <c r="E5" i="17"/>
  <c r="B42" i="5" l="1"/>
  <c r="B38" i="5"/>
  <c r="B41" i="5"/>
  <c r="B43" i="5"/>
  <c r="B39" i="5"/>
  <c r="B37" i="5"/>
  <c r="B44" i="5"/>
  <c r="B40" i="5"/>
  <c r="CV5" i="17"/>
  <c r="V25" i="5"/>
  <c r="J23" i="11" s="1"/>
  <c r="CW5" i="17"/>
  <c r="N5" i="17"/>
  <c r="D7" i="11"/>
  <c r="Z20" i="11" s="1"/>
  <c r="Y20" i="11" s="1"/>
  <c r="O5" i="17"/>
  <c r="Y28" i="5"/>
  <c r="R27" i="5" s="1"/>
  <c r="B19" i="11"/>
  <c r="B19" i="5"/>
  <c r="S11" i="5"/>
  <c r="S16" i="5"/>
  <c r="K17" i="5"/>
  <c r="AA18" i="5"/>
  <c r="S19" i="5"/>
  <c r="AA8" i="5"/>
  <c r="K9" i="5"/>
  <c r="AA19" i="5"/>
  <c r="S9" i="5"/>
  <c r="AA10" i="5"/>
  <c r="B11" i="5"/>
  <c r="T6" i="5"/>
  <c r="AA9" i="5"/>
  <c r="B10" i="5"/>
  <c r="AA11" i="5"/>
  <c r="B12" i="5"/>
  <c r="K15" i="5"/>
  <c r="B18" i="5"/>
  <c r="H2" i="11"/>
  <c r="K8" i="5"/>
  <c r="K10" i="5"/>
  <c r="S12" i="5"/>
  <c r="AA15" i="5"/>
  <c r="B16" i="5"/>
  <c r="S18" i="5"/>
  <c r="AA12" i="5"/>
  <c r="B15" i="5"/>
  <c r="AA16" i="5"/>
  <c r="S17" i="5"/>
  <c r="K19" i="5"/>
  <c r="D2" i="11"/>
  <c r="E34" i="11" s="1"/>
  <c r="E39" i="11" s="1"/>
  <c r="A5" i="17"/>
  <c r="S8" i="5"/>
  <c r="B9" i="5"/>
  <c r="S10" i="5"/>
  <c r="K11" i="5"/>
  <c r="K12" i="5"/>
  <c r="S15" i="5"/>
  <c r="K16" i="5"/>
  <c r="B17" i="5"/>
  <c r="AA17" i="5"/>
  <c r="K18" i="5"/>
  <c r="K6" i="11"/>
  <c r="Z18" i="11" s="1"/>
  <c r="Y18" i="11" s="1"/>
  <c r="R5" i="17"/>
  <c r="D5" i="17"/>
  <c r="P2" i="11"/>
  <c r="Z4" i="11" s="1"/>
  <c r="Y4" i="11" s="1"/>
  <c r="I5" i="17"/>
  <c r="D4" i="11"/>
  <c r="C25" i="5"/>
  <c r="B27" i="11" s="1"/>
  <c r="G5" i="17"/>
  <c r="K5" i="11"/>
  <c r="Z14" i="11" s="1"/>
  <c r="Y14" i="11" s="1"/>
  <c r="C5" i="17"/>
  <c r="M2" i="11"/>
  <c r="Z3" i="11" s="1"/>
  <c r="Y3" i="11" s="1"/>
  <c r="H4" i="11"/>
  <c r="Z9" i="11" s="1"/>
  <c r="Y9" i="11" s="1"/>
  <c r="F5" i="17"/>
  <c r="H6" i="11"/>
  <c r="Z17" i="11" s="1"/>
  <c r="Y17" i="11" s="1"/>
  <c r="P5" i="17"/>
  <c r="Q5" i="17"/>
  <c r="P6" i="11"/>
  <c r="Z19" i="11" s="1"/>
  <c r="Y19" i="11" s="1"/>
  <c r="K4" i="11"/>
  <c r="Z10" i="11" s="1"/>
  <c r="Y10" i="11" s="1"/>
  <c r="J5" i="17"/>
  <c r="W3" i="5"/>
  <c r="D5" i="11"/>
  <c r="Z12" i="11" s="1"/>
  <c r="Y12" i="11" s="1"/>
  <c r="A29" i="5" l="1"/>
  <c r="C29" i="5" s="1"/>
  <c r="A33" i="5"/>
  <c r="C33" i="5" s="1"/>
  <c r="A26" i="5"/>
  <c r="C26" i="5" s="1"/>
  <c r="A30" i="5"/>
  <c r="C30" i="5" s="1"/>
  <c r="A28" i="5"/>
  <c r="C28" i="5" s="1"/>
  <c r="A32" i="5"/>
  <c r="C32" i="5" s="1"/>
  <c r="A36" i="5"/>
  <c r="C36" i="5" s="1"/>
  <c r="A34" i="5"/>
  <c r="C34" i="5" s="1"/>
  <c r="A27" i="5"/>
  <c r="C27" i="5" s="1"/>
  <c r="A31" i="5"/>
  <c r="C31" i="5" s="1"/>
  <c r="A35" i="5"/>
  <c r="C35" i="5" s="1"/>
  <c r="B8" i="11"/>
  <c r="N26" i="5"/>
  <c r="DB5" i="17" s="1"/>
  <c r="A18" i="5"/>
  <c r="AL21" i="5" s="1"/>
  <c r="AA5" i="17"/>
  <c r="A17" i="5"/>
  <c r="AL20" i="5" s="1"/>
  <c r="AQ5" i="17"/>
  <c r="AC5" i="17"/>
  <c r="A19" i="5"/>
  <c r="AL22" i="5" s="1"/>
  <c r="AY20" i="5"/>
  <c r="BC5" i="17"/>
  <c r="R11" i="5"/>
  <c r="AL32" i="5" s="1"/>
  <c r="AY33" i="5"/>
  <c r="AA13" i="5"/>
  <c r="BE5" i="17"/>
  <c r="AY13" i="5"/>
  <c r="AI5" i="17"/>
  <c r="AG5" i="17"/>
  <c r="AY24" i="5"/>
  <c r="R12" i="5"/>
  <c r="AL33" i="5" s="1"/>
  <c r="CQ5" i="17"/>
  <c r="CI5" i="17"/>
  <c r="CE5" i="17"/>
  <c r="CM5" i="17"/>
  <c r="R15" i="5"/>
  <c r="AL39" i="5" s="1"/>
  <c r="CU5" i="17"/>
  <c r="CO5" i="17"/>
  <c r="CK5" i="17"/>
  <c r="B6" i="5"/>
  <c r="DX5" i="17"/>
  <c r="R16" i="5"/>
  <c r="AL40" i="5" s="1"/>
  <c r="A10" i="5"/>
  <c r="AL10" i="5" s="1"/>
  <c r="AY37" i="5"/>
  <c r="BO5" i="17"/>
  <c r="AY40" i="5"/>
  <c r="R19" i="5"/>
  <c r="AL43" i="5" s="1"/>
  <c r="AY29" i="5"/>
  <c r="AY19" i="5"/>
  <c r="AW5" i="17"/>
  <c r="K22" i="11"/>
  <c r="Z18" i="5"/>
  <c r="AL47" i="5" s="1"/>
  <c r="J17" i="5"/>
  <c r="AL25" i="5" s="1"/>
  <c r="AY31" i="5"/>
  <c r="AY22" i="5"/>
  <c r="AY18" i="5"/>
  <c r="BS5" i="17"/>
  <c r="Z8" i="5"/>
  <c r="AL34" i="5" s="1"/>
  <c r="R9" i="5"/>
  <c r="AL30" i="5" s="1"/>
  <c r="AY26" i="5"/>
  <c r="BK5" i="17"/>
  <c r="AY44" i="5"/>
  <c r="BW5" i="17"/>
  <c r="Z11" i="5"/>
  <c r="AL37" i="5" s="1"/>
  <c r="Z15" i="5"/>
  <c r="AL44" i="5" s="1"/>
  <c r="CS5" i="17"/>
  <c r="Z10" i="5"/>
  <c r="AL36" i="5" s="1"/>
  <c r="BY5" i="17"/>
  <c r="AY11" i="5"/>
  <c r="D3" i="11"/>
  <c r="J9" i="5"/>
  <c r="AL14" i="5" s="1"/>
  <c r="AY41" i="5"/>
  <c r="AY34" i="5"/>
  <c r="B5" i="17"/>
  <c r="CX5" i="17"/>
  <c r="AY30" i="5"/>
  <c r="BQ5" i="17"/>
  <c r="AY10" i="5"/>
  <c r="S5" i="17"/>
  <c r="AY16" i="5"/>
  <c r="J8" i="5"/>
  <c r="AL13" i="5" s="1"/>
  <c r="A16" i="5"/>
  <c r="AL19" i="5" s="1"/>
  <c r="U5" i="17"/>
  <c r="AY5" i="5"/>
  <c r="AY45" i="5"/>
  <c r="Z19" i="5"/>
  <c r="AL48" i="5" s="1"/>
  <c r="A11" i="5"/>
  <c r="AL11" i="5" s="1"/>
  <c r="Z12" i="5"/>
  <c r="AL38" i="5" s="1"/>
  <c r="F20" i="5"/>
  <c r="AY8" i="5"/>
  <c r="AY5" i="17"/>
  <c r="AY12" i="5"/>
  <c r="J15" i="5"/>
  <c r="AL23" i="5" s="1"/>
  <c r="AY39" i="5"/>
  <c r="R18" i="5"/>
  <c r="AL42" i="5" s="1"/>
  <c r="BU5" i="17"/>
  <c r="Z9" i="5"/>
  <c r="AL35" i="5" s="1"/>
  <c r="N22" i="11"/>
  <c r="J10" i="5"/>
  <c r="AL15" i="5" s="1"/>
  <c r="A8" i="5"/>
  <c r="AL8" i="5" s="1"/>
  <c r="A12" i="5"/>
  <c r="AL12" i="5" s="1"/>
  <c r="AY32" i="5"/>
  <c r="I13" i="5"/>
  <c r="AE5" i="17"/>
  <c r="F13" i="5"/>
  <c r="AY9" i="5"/>
  <c r="AU5" i="17"/>
  <c r="Y5" i="17"/>
  <c r="AY7" i="5"/>
  <c r="CA5" i="17"/>
  <c r="AD13" i="5"/>
  <c r="Y13" i="5"/>
  <c r="Z17" i="5"/>
  <c r="AL46" i="5" s="1"/>
  <c r="AE13" i="5"/>
  <c r="CC5" i="17"/>
  <c r="AK5" i="17"/>
  <c r="AY36" i="5"/>
  <c r="W13" i="5"/>
  <c r="AY25" i="5"/>
  <c r="P20" i="5"/>
  <c r="AY15" i="5"/>
  <c r="AO5" i="17"/>
  <c r="J18" i="5"/>
  <c r="AL26" i="5" s="1"/>
  <c r="R10" i="5"/>
  <c r="AL31" i="5" s="1"/>
  <c r="X13" i="5"/>
  <c r="V13" i="5"/>
  <c r="AF13" i="5"/>
  <c r="BM5" i="17"/>
  <c r="R8" i="5"/>
  <c r="AL29" i="5" s="1"/>
  <c r="N13" i="5"/>
  <c r="AG20" i="5"/>
  <c r="AY43" i="5"/>
  <c r="BI5" i="17"/>
  <c r="AY35" i="5"/>
  <c r="AG13" i="5"/>
  <c r="AY28" i="5"/>
  <c r="Q20" i="5"/>
  <c r="H20" i="5"/>
  <c r="AF20" i="5"/>
  <c r="AY42" i="5"/>
  <c r="Z16" i="5"/>
  <c r="AL45" i="5" s="1"/>
  <c r="H13" i="5"/>
  <c r="P13" i="5"/>
  <c r="AE20" i="5"/>
  <c r="R17" i="5"/>
  <c r="AL41" i="5" s="1"/>
  <c r="Q13" i="5"/>
  <c r="O13" i="5"/>
  <c r="W5" i="17"/>
  <c r="AY6" i="5"/>
  <c r="A9" i="5"/>
  <c r="AL9" i="5" s="1"/>
  <c r="AD20" i="5"/>
  <c r="O20" i="5"/>
  <c r="AY21" i="5"/>
  <c r="G20" i="5"/>
  <c r="BG5" i="17"/>
  <c r="J19" i="5"/>
  <c r="AL28" i="5" s="1"/>
  <c r="AS5" i="17"/>
  <c r="Y20" i="5"/>
  <c r="AY23" i="5"/>
  <c r="AY38" i="5"/>
  <c r="J12" i="5"/>
  <c r="AL17" i="5" s="1"/>
  <c r="CG5" i="17"/>
  <c r="AY17" i="5"/>
  <c r="AY14" i="5"/>
  <c r="BA5" i="17"/>
  <c r="J16" i="5"/>
  <c r="AL24" i="5" s="1"/>
  <c r="V20" i="5"/>
  <c r="N20" i="5"/>
  <c r="X20" i="5"/>
  <c r="G13" i="5"/>
  <c r="Q24" i="5"/>
  <c r="AM5" i="17"/>
  <c r="W20" i="5"/>
  <c r="J11" i="5"/>
  <c r="AL16" i="5" s="1"/>
  <c r="I20" i="5"/>
  <c r="A15" i="5"/>
  <c r="AL18" i="5" s="1"/>
  <c r="Z8" i="11"/>
  <c r="Y8" i="11" s="1"/>
  <c r="B34" i="11"/>
  <c r="B39" i="11" s="1"/>
  <c r="H33" i="11"/>
  <c r="H38" i="11" s="1"/>
  <c r="H5" i="11"/>
  <c r="Z13" i="11" s="1"/>
  <c r="Y13" i="11" s="1"/>
  <c r="H5" i="17"/>
  <c r="K5" i="17"/>
  <c r="P5" i="11"/>
  <c r="Z15" i="11" s="1"/>
  <c r="Y15" i="11" s="1"/>
  <c r="L5" i="17"/>
  <c r="D6" i="11"/>
  <c r="Z16" i="11" s="1"/>
  <c r="Y16" i="11" s="1"/>
  <c r="Y27" i="5"/>
  <c r="M21" i="11" s="1"/>
  <c r="G28" i="11" l="1"/>
  <c r="DS5" i="17"/>
  <c r="DU5" i="17"/>
  <c r="B28" i="11"/>
  <c r="B29" i="11"/>
  <c r="DT5" i="17"/>
  <c r="DV5" i="17"/>
  <c r="DW5" i="17"/>
  <c r="S13" i="5"/>
  <c r="N25" i="5"/>
  <c r="J24" i="11"/>
  <c r="AA20" i="5"/>
  <c r="AA15" i="11"/>
  <c r="AE15" i="11" s="1"/>
  <c r="AA8" i="11"/>
  <c r="AE8" i="11" s="1"/>
  <c r="AD27" i="5"/>
  <c r="DJ5" i="17" s="1"/>
  <c r="AA16" i="11"/>
  <c r="AE16" i="11" s="1"/>
  <c r="B13" i="5"/>
  <c r="AA6" i="11"/>
  <c r="AE6" i="11" s="1"/>
  <c r="AA7" i="11"/>
  <c r="AE7" i="11" s="1"/>
  <c r="AA11" i="11"/>
  <c r="AE11" i="11" s="1"/>
  <c r="AA19" i="11"/>
  <c r="AE19" i="11" s="1"/>
  <c r="AA3" i="11"/>
  <c r="AE3" i="11" s="1"/>
  <c r="AA12" i="11"/>
  <c r="AE12" i="11" s="1"/>
  <c r="AA20" i="11"/>
  <c r="AE20" i="11" s="1"/>
  <c r="AD26" i="5"/>
  <c r="DI5" i="17" s="1"/>
  <c r="AD25" i="5"/>
  <c r="F21" i="11" s="1"/>
  <c r="V24" i="11"/>
  <c r="J18" i="11" s="1"/>
  <c r="L18" i="11" s="1"/>
  <c r="V15" i="11"/>
  <c r="B16" i="11" s="1"/>
  <c r="I16" i="11" s="1"/>
  <c r="K20" i="5"/>
  <c r="V14" i="11"/>
  <c r="B15" i="11" s="1"/>
  <c r="B20" i="5"/>
  <c r="V12" i="11"/>
  <c r="B13" i="11" s="1"/>
  <c r="AA4" i="11"/>
  <c r="AE4" i="11" s="1"/>
  <c r="AA9" i="11"/>
  <c r="AE9" i="11" s="1"/>
  <c r="AA13" i="11"/>
  <c r="AE13" i="11" s="1"/>
  <c r="AA17" i="11"/>
  <c r="AE17" i="11" s="1"/>
  <c r="AA21" i="11"/>
  <c r="AE21" i="11" s="1"/>
  <c r="K13" i="5"/>
  <c r="V22" i="11"/>
  <c r="J16" i="11" s="1"/>
  <c r="V21" i="11"/>
  <c r="J15" i="11" s="1"/>
  <c r="V16" i="11"/>
  <c r="B17" i="11" s="1"/>
  <c r="V20" i="11"/>
  <c r="J14" i="11" s="1"/>
  <c r="V19" i="11"/>
  <c r="J13" i="11" s="1"/>
  <c r="V17" i="11"/>
  <c r="B18" i="11" s="1"/>
  <c r="V18" i="11"/>
  <c r="J12" i="11" s="1"/>
  <c r="V23" i="11"/>
  <c r="J17" i="11" s="1"/>
  <c r="AA5" i="11"/>
  <c r="AE5" i="11" s="1"/>
  <c r="AA10" i="11"/>
  <c r="AE10" i="11" s="1"/>
  <c r="AA14" i="11"/>
  <c r="AE14" i="11" s="1"/>
  <c r="AA18" i="11"/>
  <c r="AE18" i="11" s="1"/>
  <c r="S20" i="5"/>
  <c r="V13" i="11"/>
  <c r="B14" i="11" s="1"/>
  <c r="V11" i="11"/>
  <c r="B12" i="11" s="1"/>
  <c r="CZ5" i="17" l="1"/>
  <c r="E23" i="11"/>
  <c r="B30" i="11"/>
  <c r="DR5" i="17"/>
  <c r="DQ5" i="17"/>
  <c r="G30" i="11"/>
  <c r="G29" i="11"/>
  <c r="DP5" i="17"/>
  <c r="E24" i="11"/>
  <c r="Q21" i="11"/>
  <c r="AG29" i="5"/>
  <c r="DH5" i="17"/>
  <c r="DK5" i="17" s="1"/>
  <c r="K21" i="11"/>
  <c r="P18" i="11"/>
  <c r="Q18" i="11"/>
  <c r="K18" i="11"/>
  <c r="T21" i="5"/>
  <c r="N28" i="5" s="1"/>
  <c r="E25" i="11" s="1"/>
  <c r="H16" i="11"/>
  <c r="C16" i="11"/>
  <c r="D16" i="11"/>
  <c r="C15" i="11"/>
  <c r="D15" i="11"/>
  <c r="I15" i="11"/>
  <c r="H15" i="11"/>
  <c r="I14" i="11"/>
  <c r="D14" i="11"/>
  <c r="H14" i="11"/>
  <c r="C14" i="11"/>
  <c r="H17" i="11"/>
  <c r="D17" i="11"/>
  <c r="C17" i="11"/>
  <c r="I17" i="11"/>
  <c r="L13" i="11"/>
  <c r="K13" i="11"/>
  <c r="Q13" i="11"/>
  <c r="P13" i="11"/>
  <c r="P15" i="11"/>
  <c r="L15" i="11"/>
  <c r="K15" i="11"/>
  <c r="Q15" i="11"/>
  <c r="K17" i="11"/>
  <c r="Q17" i="11"/>
  <c r="P17" i="11"/>
  <c r="L17" i="11"/>
  <c r="P14" i="11"/>
  <c r="K14" i="11"/>
  <c r="L14" i="11"/>
  <c r="Q14" i="11"/>
  <c r="Q16" i="11"/>
  <c r="P16" i="11"/>
  <c r="L16" i="11"/>
  <c r="K16" i="11"/>
  <c r="D13" i="11"/>
  <c r="C13" i="11"/>
  <c r="I13" i="11"/>
  <c r="H13" i="11"/>
  <c r="I18" i="11"/>
  <c r="D18" i="11"/>
  <c r="H18" i="11"/>
  <c r="C18" i="11"/>
  <c r="C12" i="11"/>
  <c r="I12" i="11"/>
  <c r="H12" i="11"/>
  <c r="D12" i="11"/>
  <c r="K12" i="11"/>
  <c r="Q12" i="11"/>
  <c r="P12" i="11"/>
  <c r="L12" i="11"/>
  <c r="N29" i="5" l="1"/>
  <c r="V29" i="5" s="1"/>
  <c r="DF5" i="17" s="1"/>
  <c r="DA5" i="17"/>
  <c r="DC5" i="17"/>
  <c r="T1" i="11"/>
  <c r="CT5" i="17"/>
  <c r="CD5" i="17"/>
  <c r="BN5" i="17"/>
  <c r="AX5" i="17"/>
  <c r="AH5" i="17"/>
  <c r="CR5" i="17"/>
  <c r="CB5" i="17"/>
  <c r="BL5" i="17"/>
  <c r="AV5" i="17"/>
  <c r="AF5" i="17"/>
  <c r="BR5" i="17"/>
  <c r="AL5" i="17"/>
  <c r="CF5" i="17"/>
  <c r="AJ5" i="17"/>
  <c r="CP5" i="17"/>
  <c r="BZ5" i="17"/>
  <c r="BJ5" i="17"/>
  <c r="AT5" i="17"/>
  <c r="AD5" i="17"/>
  <c r="CN5" i="17"/>
  <c r="BX5" i="17"/>
  <c r="BH5" i="17"/>
  <c r="AR5" i="17"/>
  <c r="AB5" i="17"/>
  <c r="AZ5" i="17"/>
  <c r="T5" i="17"/>
  <c r="CL5" i="17"/>
  <c r="BV5" i="17"/>
  <c r="BF5" i="17"/>
  <c r="AP5" i="17"/>
  <c r="Z5" i="17"/>
  <c r="CJ5" i="17"/>
  <c r="BT5" i="17"/>
  <c r="BD5" i="17"/>
  <c r="AN5" i="17"/>
  <c r="X5" i="17"/>
  <c r="CH5" i="17"/>
  <c r="BB5" i="17"/>
  <c r="V5" i="17"/>
  <c r="BP5" i="17"/>
  <c r="T2" i="11"/>
  <c r="DD5" i="17" l="1"/>
  <c r="AC29" i="5"/>
  <c r="F38" i="11" s="1"/>
  <c r="E26" i="11"/>
  <c r="F33" i="11" s="1"/>
  <c r="DG5" i="17" l="1"/>
</calcChain>
</file>

<file path=xl/sharedStrings.xml><?xml version="1.0" encoding="utf-8"?>
<sst xmlns="http://schemas.openxmlformats.org/spreadsheetml/2006/main" count="385" uniqueCount="260">
  <si>
    <t>تاريخه</t>
  </si>
  <si>
    <t>تدوير رسوم</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</si>
  <si>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</si>
  <si>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</si>
  <si>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</si>
  <si>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</si>
  <si>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</si>
  <si>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</si>
  <si>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</si>
  <si>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</si>
  <si>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</si>
  <si>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</si>
  <si>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</si>
  <si>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</si>
  <si>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</si>
  <si>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</si>
  <si>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</si>
  <si>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</si>
  <si>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الفصل الثاني</t>
  </si>
  <si>
    <t xml:space="preserve">الفصل الأول </t>
  </si>
  <si>
    <t>تقسيط</t>
  </si>
  <si>
    <t>مقررات السنة الثانية</t>
  </si>
  <si>
    <t xml:space="preserve">مقررات السنة الرابعة </t>
  </si>
  <si>
    <t>المبلغ المستحق</t>
  </si>
  <si>
    <t>القسط الأول</t>
  </si>
  <si>
    <t>رسم الشهادة</t>
  </si>
  <si>
    <t>القسط الثاني</t>
  </si>
  <si>
    <t>نوع الثانوية</t>
  </si>
  <si>
    <t>رمز المقرر</t>
  </si>
  <si>
    <t>اسم المقرر</t>
  </si>
  <si>
    <t xml:space="preserve">إلى المصرف العقاري </t>
  </si>
  <si>
    <t>يرجى قبض مبلغ  قدره</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</si>
  <si>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</si>
  <si>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</si>
  <si>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</si>
  <si>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</si>
  <si>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</si>
  <si>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</si>
  <si>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</si>
  <si>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</si>
  <si>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</si>
  <si>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</si>
  <si>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</si>
  <si>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</si>
  <si>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</si>
  <si>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</si>
  <si>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</si>
  <si>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</si>
  <si>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</si>
  <si>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الاب</t>
  </si>
  <si>
    <t>الأم</t>
  </si>
  <si>
    <t>تاريخ الميلاد</t>
  </si>
  <si>
    <t>الرقم الوطني</t>
  </si>
  <si>
    <t>سنة الشهادة</t>
  </si>
  <si>
    <t>محافظ الشهادة</t>
  </si>
  <si>
    <t>العنوان الدائم</t>
  </si>
  <si>
    <t>المحافظة</t>
  </si>
  <si>
    <t>ذوي الشهداء وجرحى الجيش العربي السوري</t>
  </si>
  <si>
    <t>رقم تدوير رسوم</t>
  </si>
  <si>
    <t>الرابعة</t>
  </si>
  <si>
    <t>الرابعة حديث</t>
  </si>
  <si>
    <t>اتبع الخطوات التالية:</t>
  </si>
  <si>
    <t>الإستمارة وإطبع منها أربعة نسخ</t>
  </si>
  <si>
    <t xml:space="preserve">بعد الإنتهاء من عملية إختيار المقررات إنتقل إلى صفحة </t>
  </si>
  <si>
    <t>الموبايل</t>
  </si>
  <si>
    <t>الهاتف</t>
  </si>
  <si>
    <t>شعبة التجنيد</t>
  </si>
  <si>
    <t>العنوان :</t>
  </si>
  <si>
    <t>ر2</t>
  </si>
  <si>
    <t>ج</t>
  </si>
  <si>
    <t>ر1</t>
  </si>
  <si>
    <t>نوع الحسم</t>
  </si>
  <si>
    <t>نقابة معلمين</t>
  </si>
  <si>
    <t>ذوي إحتياجات الخاصة</t>
  </si>
  <si>
    <t>سجين</t>
  </si>
  <si>
    <t>رسم التسجيل</t>
  </si>
  <si>
    <t>عدد المقررات المسجلة لأول مرة</t>
  </si>
  <si>
    <t>عدد المقررات المسجلة للمرة الثانية</t>
  </si>
  <si>
    <t>عدد المواد الراسبة للمرة الأولى</t>
  </si>
  <si>
    <t>عدد المواد الراسبة للمرة الثانية</t>
  </si>
  <si>
    <t>المقرر المسجل للمرة الأولى</t>
  </si>
  <si>
    <t>المقرر المسجل للمرة الثانية</t>
  </si>
  <si>
    <t>المقرر المسجل لاكثر من مرة</t>
  </si>
  <si>
    <t>place of birth</t>
  </si>
  <si>
    <t>Mother Name</t>
  </si>
  <si>
    <t>Father Name</t>
  </si>
  <si>
    <t>Full Name</t>
  </si>
  <si>
    <t>مكان ورقم القيد</t>
  </si>
  <si>
    <t>لا</t>
  </si>
  <si>
    <t>نعم</t>
  </si>
  <si>
    <t>دمشق</t>
  </si>
  <si>
    <t>علمي</t>
  </si>
  <si>
    <t>ريف دمشق</t>
  </si>
  <si>
    <t>حمص</t>
  </si>
  <si>
    <t>اللاذقية</t>
  </si>
  <si>
    <t>رقم الموبايل</t>
  </si>
  <si>
    <t>طرطوس</t>
  </si>
  <si>
    <t>إدلب</t>
  </si>
  <si>
    <t>نوع الشهادة الثانوية</t>
  </si>
  <si>
    <t>السويداء</t>
  </si>
  <si>
    <t>القنيطرة</t>
  </si>
  <si>
    <t>درعا</t>
  </si>
  <si>
    <t>الحسكة</t>
  </si>
  <si>
    <t>دير الزور</t>
  </si>
  <si>
    <t>الرقة</t>
  </si>
  <si>
    <t>ذكر</t>
  </si>
  <si>
    <t>أنثى</t>
  </si>
  <si>
    <t>العربية السورية</t>
  </si>
  <si>
    <t>الأردنية</t>
  </si>
  <si>
    <t>العراقية</t>
  </si>
  <si>
    <t xml:space="preserve">تعليمات التسجيل </t>
  </si>
  <si>
    <t>يستفيد من الحسم</t>
  </si>
  <si>
    <t>نسبة الحسم</t>
  </si>
  <si>
    <t>تملئ صفحة إدخال البيانات بالمعلومات المطلوبة وبشكل دقيق وصحيح</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</si>
  <si>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</si>
  <si>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</si>
  <si>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</si>
  <si>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عند اختيار المقررتضع بجانب اسم المقرر بالعمود الأزرق رقم /1/</t>
  </si>
  <si>
    <t>ذوي شهداء الجيش وقوى الأمن الداخلي والجرحى وابنائهم وأبناء المفقودين وازواجهم</t>
  </si>
  <si>
    <t xml:space="preserve">يسدد (500ل.س) فقط رسم كل مقرر </t>
  </si>
  <si>
    <t>عناصر الجيش العربي السوري وقوى الامن الداخلي</t>
  </si>
  <si>
    <t>أعضاء نقابة المعلمين وأبنائهم والعاملين المنتسبين لنقابة العمال في وزارة التعليم العالي والمؤسسات الهيئات والجامعات التابعة لها وأبنائهم</t>
  </si>
  <si>
    <t>ذوي الاحتياجات الخاصة</t>
  </si>
  <si>
    <t>الحاصلين على وثيقة وفاة من مكتب شؤون الشهداء والجرحى والمفقودين لأبناء و أزواج المتوفيين بالعمليات المشابهة للعمليات الحربية</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</si>
  <si>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</si>
  <si>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</si>
  <si>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</si>
  <si>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t>الأولى</t>
  </si>
  <si>
    <t>الثانية</t>
  </si>
  <si>
    <t>الثالثة حديث</t>
  </si>
  <si>
    <t>الثانية حديث</t>
  </si>
  <si>
    <t>التونسية</t>
  </si>
  <si>
    <t>رسم فصول الانقطاع</t>
  </si>
  <si>
    <t>رسم المقررات</t>
  </si>
  <si>
    <t>ملاحظة: عن كل فصل انقطاع رسم /15000 ل.س/</t>
  </si>
  <si>
    <t>العاملين في وزارة التعليم العالي والمؤسسات والجامعات التابعة لها وأبنائهم</t>
  </si>
  <si>
    <t>وثيقة وفاة  صادرة عن مكتب الشهداء</t>
  </si>
  <si>
    <t>طابع هلال احمر
25  ل .س</t>
  </si>
  <si>
    <t xml:space="preserve">طابع مالي
 30  ل.س   </t>
  </si>
  <si>
    <t>رسم الانقطاع</t>
  </si>
  <si>
    <t>الفصل الثاني 2018-2019</t>
  </si>
  <si>
    <t>الفصول التي انقطع فيها عن التسجيل وسدد رسومها</t>
  </si>
  <si>
    <t>غير سورية</t>
  </si>
  <si>
    <t>شرعية</t>
  </si>
  <si>
    <t>الفصل الأول 2018-2019</t>
  </si>
  <si>
    <t>الفصل الأول 2019-2020</t>
  </si>
  <si>
    <t>الفصل الثاني 2020-2021</t>
  </si>
  <si>
    <t>رسوم المحتفظ بها بسبب الإيقاف</t>
  </si>
  <si>
    <t>طابع بحث علمي
25ل.س</t>
  </si>
  <si>
    <t>ملاحظة: لا يعد الطالب مسجلاً إذا لم ينفذ تعليمات التسجيل كاملةً ويسلم أوراقه إلى القسم المختص  ، وهو مسؤول عن صحة المعلومات الواردة في هذه الاستمارة</t>
  </si>
  <si>
    <t>مستنفذ</t>
  </si>
  <si>
    <t>الفصل الأول 2020-2021</t>
  </si>
  <si>
    <t>أدخل الرقم الإمتحاني</t>
  </si>
  <si>
    <t>الثانوية</t>
  </si>
  <si>
    <t>01</t>
  </si>
  <si>
    <t>03</t>
  </si>
  <si>
    <t>رقم جواز السفر لغير السوريين</t>
  </si>
  <si>
    <t>رقم الهاتف</t>
  </si>
  <si>
    <t>06</t>
  </si>
  <si>
    <t>04</t>
  </si>
  <si>
    <t>07</t>
  </si>
  <si>
    <t>08</t>
  </si>
  <si>
    <t xml:space="preserve">اليمنية </t>
  </si>
  <si>
    <t>09</t>
  </si>
  <si>
    <t>10</t>
  </si>
  <si>
    <t>11</t>
  </si>
  <si>
    <t>12</t>
  </si>
  <si>
    <t>13</t>
  </si>
  <si>
    <t>14</t>
  </si>
  <si>
    <t>15</t>
  </si>
  <si>
    <t>16</t>
  </si>
  <si>
    <t>غير سوري</t>
  </si>
  <si>
    <t>رقم الإيقاف</t>
  </si>
  <si>
    <t>تدوير الرسوم</t>
  </si>
  <si>
    <t>الفلسطينية</t>
  </si>
  <si>
    <t>الإيرانية</t>
  </si>
  <si>
    <t>المصرية</t>
  </si>
  <si>
    <t>المغربية</t>
  </si>
  <si>
    <t>الأفغانية</t>
  </si>
  <si>
    <t>التركية</t>
  </si>
  <si>
    <t>سلوفاكية</t>
  </si>
  <si>
    <t>رقم الطالب:</t>
  </si>
  <si>
    <t>السنة:</t>
  </si>
  <si>
    <t>الجنس:</t>
  </si>
  <si>
    <t>تاريخ الميلاد:</t>
  </si>
  <si>
    <t>مكان الميلاد:</t>
  </si>
  <si>
    <t>الجنسية:</t>
  </si>
  <si>
    <t>الرقم الوطني:</t>
  </si>
  <si>
    <t>مكان ورقم القيد:</t>
  </si>
  <si>
    <t>المحافظة الدائمة:</t>
  </si>
  <si>
    <t>شعبة التجنيد:</t>
  </si>
  <si>
    <t>نوع الثانوية:</t>
  </si>
  <si>
    <t>محافظتها:</t>
  </si>
  <si>
    <t>عامها:</t>
  </si>
  <si>
    <t>الموبايل:</t>
  </si>
  <si>
    <t>الهاتف:</t>
  </si>
  <si>
    <t>الرسوم المدورة</t>
  </si>
  <si>
    <t>الرسوم</t>
  </si>
  <si>
    <t>البيانات باللغة الإنكليزية</t>
  </si>
  <si>
    <t>رسم فصل الانقطاع</t>
  </si>
  <si>
    <t>رسم تسجيل سنوي</t>
  </si>
  <si>
    <t>الجزائرية</t>
  </si>
  <si>
    <t>السودانية</t>
  </si>
  <si>
    <t>مقدمة في الصحافة</t>
  </si>
  <si>
    <t xml:space="preserve">مقدمة في الفنون  الاذاعية والسمعبصرية </t>
  </si>
  <si>
    <t xml:space="preserve">مقدمة في الاعلان </t>
  </si>
  <si>
    <t xml:space="preserve">مقدمة في العلاقات العامة </t>
  </si>
  <si>
    <t xml:space="preserve">مادة اعلامية باللغة الأجنبية (1) </t>
  </si>
  <si>
    <t>الترجمة الاعلامية (1)</t>
  </si>
  <si>
    <t xml:space="preserve">اللغة الاعلامية </t>
  </si>
  <si>
    <t xml:space="preserve">مقدمة في مناهج البحث الاعلامي </t>
  </si>
  <si>
    <t xml:space="preserve">فن الاعلان الصحفي </t>
  </si>
  <si>
    <t xml:space="preserve">الاخبار الاذاعية والتلفزيونية </t>
  </si>
  <si>
    <t xml:space="preserve">الإعلام الدولي </t>
  </si>
  <si>
    <t xml:space="preserve">التخطيط الاعلامي </t>
  </si>
  <si>
    <t xml:space="preserve">الاخراج الصحفي </t>
  </si>
  <si>
    <t>الترجمة الاعلامية  (3)</t>
  </si>
  <si>
    <t xml:space="preserve">الاخراج الاذاعي والتلفزيوني </t>
  </si>
  <si>
    <t xml:space="preserve">البرامج التعليمية والثقافية </t>
  </si>
  <si>
    <t xml:space="preserve">فن الاعلان  </t>
  </si>
  <si>
    <t xml:space="preserve">العلاقات العامة في المجال التطبيقي </t>
  </si>
  <si>
    <t xml:space="preserve">ادارة الصحف واقتصادياتها </t>
  </si>
  <si>
    <t>مادة اعلامية بلغة اجنبية (3)</t>
  </si>
  <si>
    <t xml:space="preserve">الراي العام </t>
  </si>
  <si>
    <t xml:space="preserve">تشريعات الاعلام واخلاقياته </t>
  </si>
  <si>
    <t xml:space="preserve">تكنلوجيا الاتصال والمعلومات </t>
  </si>
  <si>
    <t>الترجمة الاعلامية (2)</t>
  </si>
  <si>
    <t xml:space="preserve">التحرير الصحفي </t>
  </si>
  <si>
    <t>مادة اعلامية بلغة اجنبية (2)</t>
  </si>
  <si>
    <t xml:space="preserve">الكتابة للإذاعة والتلفزيون </t>
  </si>
  <si>
    <t xml:space="preserve">ادارة الاعلان واقتصادياته </t>
  </si>
  <si>
    <t xml:space="preserve">ادارة وتخطيط العلاقات العامة </t>
  </si>
  <si>
    <t xml:space="preserve">نظرية الاتصال </t>
  </si>
  <si>
    <t xml:space="preserve">مادة اعلامية بلغة اجنبية </t>
  </si>
  <si>
    <t xml:space="preserve">موضوع خاص في الصحافة </t>
  </si>
  <si>
    <t xml:space="preserve">الصحافة المتخصصة </t>
  </si>
  <si>
    <t>الترجمة الاعلامية  (4)</t>
  </si>
  <si>
    <t xml:space="preserve">الافلام الوثائقية والبرامج التسجيلية </t>
  </si>
  <si>
    <t xml:space="preserve">موضوع خاص في الاذاعة </t>
  </si>
  <si>
    <t xml:space="preserve">الاعلان الاذاعي والتلفزيوني </t>
  </si>
  <si>
    <t xml:space="preserve">مشروع اصدار جريدة او مجلة </t>
  </si>
  <si>
    <t xml:space="preserve">تخطيط الحملات الاعلامية </t>
  </si>
  <si>
    <t xml:space="preserve">فن العلاقات العامة </t>
  </si>
  <si>
    <t xml:space="preserve">مقدمة في الصحافة </t>
  </si>
  <si>
    <t xml:space="preserve">مادة اعلامية بلغة اجنبية (1) </t>
  </si>
  <si>
    <t xml:space="preserve">الكتابة للاذاعة والتلفزيون </t>
  </si>
  <si>
    <t xml:space="preserve">الافلام الوثائقية والبرامج التسجيلة </t>
  </si>
  <si>
    <t xml:space="preserve">مشروع اصدار جريدة اومجلة </t>
  </si>
  <si>
    <r>
      <t xml:space="preserve">ثم تسليم استمارة التسجيل مع إيصال المصرف إلى شؤون طلاب الإعلام - كلية الإعلام - الطابق الثالثة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</si>
  <si>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الفصل الأول 2021-2022</t>
  </si>
  <si>
    <t>الاستنفاذ</t>
  </si>
  <si>
    <t>الفصل الثاني 2021-2022</t>
  </si>
  <si>
    <t>الفصل الأول 2022-2023</t>
  </si>
  <si>
    <t>الفصل الثاني 2022-2023</t>
  </si>
  <si>
    <t>الفصل الأول 2023-2024</t>
  </si>
  <si>
    <t>إرسال ملف الإستمارة (Excel ) عبر البريد الإلكتروني إلى العنوان التالي :
medopenlearning@gmail.com 
ويجب أن يكون موضوع الإيميل هو الرقم الإمتحاني للطالب</t>
  </si>
  <si>
    <t>الفصل الثاني2023-2024</t>
  </si>
  <si>
    <t xml:space="preserve">                                                       المقررات المسجلة في الفصل الأول للعام الدراسي2025/2024
ملاحظة 1:تقع اختيار جميع هذه المقررات على مسؤولية الطالب.
ملاحظة 2 :لا تعدل هذه المقررات أو يضاف تسجيل أي مقرر بعد تسديد الرسوم وتثبيت التسجيل .</t>
  </si>
  <si>
    <t>إستمارة طالب برنامج الإعلام الفصل الأول للعام الدراسي2025/2024</t>
  </si>
  <si>
    <t xml:space="preserve">          اسم الطالب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</si>
</sst>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10000]yyyy/mm/dd;@"/>
    <numFmt numFmtId="165" formatCode="#,##0\ &quot;ل.س.‏&quot;"/>
  </numFmts>
  <fonts count="97" x14ac:knownFonts="1">
    <font>
      <sz val="11"/>
      <color theme="1"/>
      <name val="Arial"/>
      <family val="2"/>
      <scheme val="minor"/>
    </font>
    <font>
      <b/>
      <sz val="10"/>
      <name val="Arial"/>
      <family val="2"/>
    </font>
    <font>
      <b/>
      <sz val="16"/>
      <name val="Arial"/>
      <family val="2"/>
    </font>
    <font>
      <b/>
      <sz val="12"/>
      <name val="Arial"/>
      <family val="2"/>
    </font>
    <font>
      <b/>
      <sz val="11"/>
      <name val="Arial"/>
      <family val="2"/>
    </font>
    <font>
      <sz val="11"/>
      <name val="Arial"/>
      <family val="2"/>
    </font>
    <font>
      <sz val="12"/>
      <name val="Arial"/>
      <family val="2"/>
    </font>
    <font>
      <sz val="10"/>
      <name val="Arial"/>
      <family val="2"/>
    </font>
    <font>
      <sz val="10"/>
      <name val="Traditional Arabic"/>
      <family val="1"/>
    </font>
    <font>
      <sz val="11"/>
      <color theme="0"/>
      <name val="Arial"/>
      <family val="2"/>
      <scheme val="minor"/>
    </font>
    <font>
      <u/>
      <sz val="10"/>
      <color theme="10"/>
      <name val="Arial"/>
      <family val="2"/>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2"/>
      <color rgb="FFFF0000"/>
      <name val="Arial"/>
      <family val="2"/>
      <scheme val="minor"/>
    </font>
    <font>
      <b/>
      <sz val="14"/>
      <color theme="1"/>
      <name val="Arial"/>
      <family val="2"/>
      <scheme val="minor"/>
    </font>
    <font>
      <b/>
      <sz val="16"/>
      <color theme="0"/>
      <name val="Arial"/>
      <family val="2"/>
    </font>
    <font>
      <sz val="11"/>
      <name val="Arial"/>
      <family val="2"/>
      <scheme val="minor"/>
    </font>
    <font>
      <b/>
      <sz val="14"/>
      <color theme="0"/>
      <name val="Arial"/>
      <family val="2"/>
      <scheme val="minor"/>
    </font>
    <font>
      <b/>
      <sz val="14"/>
      <color theme="8" tint="-0.249977111117893"/>
      <name val="Arial"/>
      <family val="2"/>
      <scheme val="minor"/>
    </font>
    <font>
      <b/>
      <sz val="12"/>
      <name val="Arial"/>
      <family val="2"/>
      <scheme val="minor"/>
    </font>
    <font>
      <b/>
      <sz val="16"/>
      <color theme="1"/>
      <name val="Arial"/>
      <family val="2"/>
      <scheme val="minor"/>
    </font>
    <font>
      <sz val="14"/>
      <color theme="10"/>
      <name val="Arial"/>
      <family val="2"/>
    </font>
    <font>
      <b/>
      <sz val="14"/>
      <color theme="7" tint="0.59999389629810485"/>
      <name val="Arial"/>
      <family val="2"/>
      <scheme val="minor"/>
    </font>
    <font>
      <b/>
      <u/>
      <sz val="12"/>
      <color theme="10"/>
      <name val="Arial"/>
      <family val="2"/>
    </font>
    <font>
      <b/>
      <sz val="14"/>
      <name val="Arial"/>
      <family val="2"/>
      <scheme val="minor"/>
    </font>
    <font>
      <b/>
      <sz val="12"/>
      <color theme="0"/>
      <name val="Arial"/>
      <family val="2"/>
    </font>
    <font>
      <b/>
      <sz val="16"/>
      <color theme="0"/>
      <name val="Arial"/>
      <family val="2"/>
      <scheme val="minor"/>
    </font>
    <font>
      <b/>
      <sz val="10"/>
      <color theme="0"/>
      <name val="Arial"/>
      <family val="2"/>
    </font>
    <font>
      <b/>
      <sz val="8"/>
      <name val="Arial"/>
      <family val="2"/>
    </font>
    <font>
      <sz val="8"/>
      <name val="Arial"/>
      <family val="2"/>
      <scheme val="minor"/>
    </font>
    <font>
      <sz val="11"/>
      <color theme="5" tint="0.59999389629810485"/>
      <name val="Arial"/>
      <family val="2"/>
      <scheme val="minor"/>
    </font>
    <font>
      <b/>
      <sz val="12"/>
      <color rgb="FFFF0000"/>
      <name val="Sakkal Majalla"/>
    </font>
    <font>
      <sz val="8"/>
      <name val="Arial"/>
      <family val="2"/>
    </font>
    <font>
      <b/>
      <sz val="12"/>
      <color theme="1"/>
      <name val="Sakkal Majalla"/>
    </font>
    <font>
      <b/>
      <sz val="16"/>
      <color theme="1"/>
      <name val="Sakkal Majalla"/>
    </font>
    <font>
      <sz val="11"/>
      <color theme="1"/>
      <name val="Sakkal Majalla"/>
    </font>
    <font>
      <b/>
      <sz val="18"/>
      <color theme="1"/>
      <name val="Sakkal Majalla"/>
    </font>
    <font>
      <b/>
      <sz val="14"/>
      <color rgb="FFFF0000"/>
      <name val="Sakkal Majalla"/>
    </font>
    <font>
      <b/>
      <sz val="14"/>
      <color theme="1"/>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b/>
      <u/>
      <sz val="16"/>
      <color theme="0"/>
      <name val="Sakkal Majalla"/>
    </font>
    <font>
      <sz val="14"/>
      <color theme="1"/>
      <name val="Sakkal Majalla"/>
    </font>
    <font>
      <b/>
      <sz val="16"/>
      <color rgb="FFFF0000"/>
      <name val="Sakkal Majalla"/>
    </font>
    <font>
      <b/>
      <u/>
      <sz val="12"/>
      <color theme="10"/>
      <name val="Sakkal Majalla"/>
    </font>
    <font>
      <b/>
      <sz val="11"/>
      <color theme="0"/>
      <name val="Arial"/>
      <family val="2"/>
      <scheme val="minor"/>
    </font>
    <font>
      <b/>
      <sz val="16"/>
      <color theme="4" tint="-0.249977111117893"/>
      <name val="Arial"/>
      <family val="2"/>
      <scheme val="minor"/>
    </font>
    <font>
      <b/>
      <sz val="12"/>
      <color theme="0"/>
      <name val="Arial"/>
      <family val="2"/>
      <scheme val="minor"/>
    </font>
    <font>
      <b/>
      <sz val="12"/>
      <color theme="0"/>
      <name val="Sakkal Majalla"/>
    </font>
    <font>
      <b/>
      <sz val="12"/>
      <color rgb="FF002060"/>
      <name val="Arial"/>
      <family val="2"/>
      <scheme val="minor"/>
    </font>
    <font>
      <b/>
      <sz val="16"/>
      <color rgb="FF002060"/>
      <name val="Arial"/>
      <family val="2"/>
      <scheme val="minor"/>
    </font>
    <font>
      <sz val="12"/>
      <name val="Arial"/>
      <family val="2"/>
      <charset val="178"/>
    </font>
    <font>
      <sz val="12"/>
      <color rgb="FFFF0000"/>
      <name val="Arial"/>
      <family val="2"/>
      <charset val="178"/>
      <scheme val="minor"/>
    </font>
    <font>
      <b/>
      <sz val="16"/>
      <color theme="1"/>
      <name val="Arial"/>
      <family val="2"/>
    </font>
    <font>
      <sz val="20"/>
      <color theme="1"/>
      <name val="Arial"/>
      <family val="2"/>
    </font>
    <font>
      <sz val="11"/>
      <color theme="1"/>
      <name val="Arial"/>
      <family val="2"/>
    </font>
    <font>
      <b/>
      <sz val="10"/>
      <color theme="1"/>
      <name val="Arial"/>
      <family val="2"/>
    </font>
    <font>
      <sz val="10"/>
      <color theme="1"/>
      <name val="Arial"/>
      <family val="2"/>
    </font>
    <font>
      <sz val="10"/>
      <color rgb="FF002060"/>
      <name val="Arial"/>
      <family val="2"/>
    </font>
    <font>
      <b/>
      <sz val="12"/>
      <name val="Sakkal Majalla"/>
    </font>
    <font>
      <b/>
      <sz val="16"/>
      <color theme="0"/>
      <name val="Sakkal Majalla"/>
    </font>
    <font>
      <sz val="14"/>
      <name val="Sakkal Majalla"/>
    </font>
    <font>
      <sz val="14"/>
      <color rgb="FFFF0000"/>
      <name val="Sakkal Majalla"/>
    </font>
    <font>
      <sz val="12"/>
      <color theme="0"/>
      <name val="Arial"/>
      <family val="2"/>
      <charset val="178"/>
    </font>
    <font>
      <u/>
      <sz val="12"/>
      <name val="Arial"/>
      <family val="2"/>
      <charset val="178"/>
    </font>
    <font>
      <sz val="12"/>
      <color theme="1"/>
      <name val="Arial"/>
      <family val="2"/>
      <charset val="178"/>
      <scheme val="minor"/>
    </font>
    <font>
      <sz val="14"/>
      <name val="Arial"/>
      <family val="2"/>
      <charset val="178"/>
    </font>
    <font>
      <sz val="12"/>
      <color theme="0"/>
      <name val="Arial"/>
      <family val="2"/>
      <charset val="178"/>
      <scheme val="minor"/>
    </font>
    <font>
      <sz val="12"/>
      <color theme="0"/>
      <name val="Sakkal Majalla"/>
    </font>
    <font>
      <u/>
      <sz val="12"/>
      <color rgb="FF0070C0"/>
      <name val="Arial"/>
      <family val="2"/>
      <charset val="178"/>
    </font>
    <font>
      <sz val="12"/>
      <color rgb="FFFF0000"/>
      <name val="Arial"/>
      <family val="2"/>
      <charset val="178"/>
    </font>
    <font>
      <sz val="12"/>
      <color rgb="FFFF0000"/>
      <name val="Arial"/>
      <family val="2"/>
      <scheme val="minor"/>
    </font>
    <font>
      <sz val="10"/>
      <color theme="0"/>
      <name val="Arial"/>
      <family val="2"/>
    </font>
    <font>
      <sz val="9"/>
      <color theme="1"/>
      <name val="Arial"/>
      <family val="2"/>
    </font>
    <font>
      <sz val="9"/>
      <name val="Arial"/>
      <family val="2"/>
    </font>
    <font>
      <sz val="9"/>
      <color rgb="FF0070C0"/>
      <name val="Arial"/>
      <family val="2"/>
    </font>
    <font>
      <sz val="16"/>
      <color theme="1"/>
      <name val="Sakkal Majalla"/>
    </font>
    <font>
      <sz val="11"/>
      <color theme="1"/>
      <name val="Arial"/>
      <family val="2"/>
      <scheme val="minor"/>
    </font>
    <font>
      <sz val="10"/>
      <color indexed="8"/>
      <name val="Arial"/>
      <family val="2"/>
    </font>
    <font>
      <b/>
      <sz val="11"/>
      <color theme="1"/>
      <name val="Arial"/>
      <family val="2"/>
      <scheme val="minor"/>
    </font>
    <font>
      <sz val="9"/>
      <color rgb="FFFF0000"/>
      <name val="Arial"/>
      <family val="2"/>
      <scheme val="minor"/>
    </font>
  </fonts>
  <fills count="27">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bgColor indexed="64"/>
      </patternFill>
    </fill>
    <fill>
      <patternFill patternType="solid">
        <fgColor theme="6" tint="0.39997558519241921"/>
        <bgColor indexed="64"/>
      </patternFill>
    </fill>
    <fill>
      <patternFill patternType="solid">
        <fgColor rgb="FFFF0000"/>
        <bgColor indexed="64"/>
      </patternFill>
    </fill>
    <fill>
      <patternFill patternType="solid">
        <fgColor theme="3" tint="0.79998168889431442"/>
        <bgColor indexed="64"/>
      </patternFill>
    </fill>
    <fill>
      <patternFill patternType="solid">
        <fgColor theme="8"/>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bgColor indexed="64"/>
      </patternFill>
    </fill>
    <fill>
      <patternFill patternType="solid">
        <fgColor theme="4" tint="0.39997558519241921"/>
        <bgColor indexed="64"/>
      </patternFill>
    </fill>
    <fill>
      <patternFill patternType="solid">
        <fgColor rgb="FF3855A6"/>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s>
  <borders count="157">
    <border>
      <left/>
      <right/>
      <top/>
      <bottom/>
      <diagonal/>
    </border>
    <border>
      <left style="thin">
        <color indexed="64"/>
      </left>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ck">
        <color theme="0"/>
      </bottom>
      <diagonal/>
    </border>
    <border>
      <left style="medium">
        <color indexed="64"/>
      </left>
      <right style="thick">
        <color theme="0"/>
      </right>
      <top/>
      <bottom/>
      <diagonal/>
    </border>
    <border>
      <left/>
      <right style="dashDot">
        <color theme="0"/>
      </right>
      <top/>
      <bottom/>
      <diagonal/>
    </border>
    <border>
      <left style="dashDot">
        <color theme="0"/>
      </left>
      <right style="dashDot">
        <color theme="0"/>
      </right>
      <top/>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style="thick">
        <color theme="0"/>
      </right>
      <top/>
      <bottom/>
      <diagonal/>
    </border>
    <border>
      <left/>
      <right/>
      <top style="medium">
        <color theme="0"/>
      </top>
      <bottom style="medium">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right/>
      <top/>
      <bottom style="thick">
        <color indexed="64"/>
      </bottom>
      <diagonal/>
    </border>
    <border>
      <left style="dashed">
        <color indexed="64"/>
      </left>
      <right style="medium">
        <color indexed="64"/>
      </right>
      <top style="thin">
        <color indexed="64"/>
      </top>
      <bottom style="thin">
        <color indexed="64"/>
      </bottom>
      <diagonal/>
    </border>
    <border>
      <left/>
      <right/>
      <top/>
      <bottom style="dashed">
        <color indexed="64"/>
      </bottom>
      <diagonal/>
    </border>
    <border>
      <left style="thick">
        <color theme="0"/>
      </left>
      <right/>
      <top style="medium">
        <color indexed="64"/>
      </top>
      <bottom style="medium">
        <color indexed="64"/>
      </bottom>
      <diagonal/>
    </border>
    <border>
      <left style="thin">
        <color indexed="64"/>
      </left>
      <right/>
      <top style="medium">
        <color indexed="64"/>
      </top>
      <bottom/>
      <diagonal/>
    </border>
    <border>
      <left/>
      <right style="dashed">
        <color indexed="64"/>
      </right>
      <top style="medium">
        <color indexed="64"/>
      </top>
      <bottom/>
      <diagonal/>
    </border>
    <border>
      <left/>
      <right/>
      <top/>
      <bottom style="medium">
        <color theme="0"/>
      </bottom>
      <diagonal/>
    </border>
    <border>
      <left/>
      <right/>
      <top style="medium">
        <color theme="0"/>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dashed">
        <color indexed="64"/>
      </right>
      <top/>
      <bottom/>
      <diagonal/>
    </border>
    <border>
      <left style="dashed">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right style="dashed">
        <color indexed="64"/>
      </right>
      <top style="thin">
        <color indexed="64"/>
      </top>
      <bottom style="thin">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right style="thin">
        <color indexed="64"/>
      </right>
      <top/>
      <bottom style="thin">
        <color indexed="64"/>
      </bottom>
      <diagonal/>
    </border>
    <border>
      <left/>
      <right style="thin">
        <color indexed="64"/>
      </right>
      <top/>
      <bottom/>
      <diagonal/>
    </border>
    <border>
      <left/>
      <right/>
      <top style="thin">
        <color theme="0"/>
      </top>
      <bottom style="thin">
        <color theme="0"/>
      </bottom>
      <diagonal/>
    </border>
    <border>
      <left style="thick">
        <color theme="0"/>
      </left>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bottom/>
      <diagonal/>
    </border>
    <border>
      <left/>
      <right style="dashed">
        <color indexed="64"/>
      </right>
      <top/>
      <bottom style="medium">
        <color indexed="64"/>
      </bottom>
      <diagonal/>
    </border>
    <border>
      <left style="dashed">
        <color indexed="64"/>
      </left>
      <right/>
      <top/>
      <bottom style="medium">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medium">
        <color indexed="64"/>
      </left>
      <right/>
      <top style="thin">
        <color indexed="64"/>
      </top>
      <bottom/>
      <diagonal/>
    </border>
    <border>
      <left/>
      <right style="medium">
        <color indexed="64"/>
      </right>
      <top style="thin">
        <color indexed="64"/>
      </top>
      <bottom/>
      <diagonal/>
    </border>
    <border>
      <left style="thick">
        <color rgb="FF3855A6"/>
      </left>
      <right/>
      <top style="thick">
        <color rgb="FF3855A6"/>
      </top>
      <bottom/>
      <diagonal/>
    </border>
    <border>
      <left/>
      <right/>
      <top style="thick">
        <color rgb="FF3855A6"/>
      </top>
      <bottom/>
      <diagonal/>
    </border>
    <border>
      <left/>
      <right style="thick">
        <color rgb="FF3855A6"/>
      </right>
      <top style="thick">
        <color rgb="FF3855A6"/>
      </top>
      <bottom/>
      <diagonal/>
    </border>
    <border>
      <left style="thick">
        <color rgb="FF3855A6"/>
      </left>
      <right/>
      <top/>
      <bottom style="thick">
        <color rgb="FF3855A6"/>
      </bottom>
      <diagonal/>
    </border>
    <border>
      <left/>
      <right/>
      <top/>
      <bottom style="thick">
        <color rgb="FF3855A6"/>
      </bottom>
      <diagonal/>
    </border>
    <border>
      <left/>
      <right style="thick">
        <color rgb="FF3855A6"/>
      </right>
      <top/>
      <bottom style="thick">
        <color rgb="FF3855A6"/>
      </bottom>
      <diagonal/>
    </border>
    <border>
      <left style="thick">
        <color auto="1"/>
      </left>
      <right/>
      <top/>
      <bottom/>
      <diagonal/>
    </border>
    <border>
      <left/>
      <right style="thick">
        <color auto="1"/>
      </right>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auto="1"/>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auto="1"/>
      </top>
      <bottom style="thin">
        <color auto="1"/>
      </bottom>
      <diagonal/>
    </border>
    <border>
      <left style="thin">
        <color indexed="64"/>
      </left>
      <right style="double">
        <color auto="1"/>
      </right>
      <top style="thin">
        <color auto="1"/>
      </top>
      <bottom style="thin">
        <color auto="1"/>
      </bottom>
      <diagonal/>
    </border>
    <border>
      <left style="thick">
        <color auto="1"/>
      </left>
      <right/>
      <top/>
      <bottom style="medium">
        <color auto="1"/>
      </bottom>
      <diagonal/>
    </border>
    <border>
      <left/>
      <right style="double">
        <color auto="1"/>
      </right>
      <top/>
      <bottom style="medium">
        <color auto="1"/>
      </bottom>
      <diagonal/>
    </border>
    <border>
      <left/>
      <right style="thick">
        <color auto="1"/>
      </right>
      <top/>
      <bottom style="medium">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auto="1"/>
      </left>
      <right/>
      <top style="thin">
        <color theme="0"/>
      </top>
      <bottom style="thin">
        <color theme="0"/>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medium">
        <color auto="1"/>
      </top>
      <bottom style="thin">
        <color auto="1"/>
      </bottom>
      <diagonal/>
    </border>
    <border>
      <left/>
      <right style="mediumDashDot">
        <color auto="1"/>
      </right>
      <top style="medium">
        <color auto="1"/>
      </top>
      <bottom style="thin">
        <color auto="1"/>
      </bottom>
      <diagonal/>
    </border>
    <border>
      <left style="mediumDashDot">
        <color indexed="64"/>
      </left>
      <right/>
      <top style="medium">
        <color indexed="64"/>
      </top>
      <bottom style="thin">
        <color indexed="64"/>
      </bottom>
      <diagonal/>
    </border>
    <border>
      <left/>
      <right style="double">
        <color auto="1"/>
      </right>
      <top style="medium">
        <color indexed="64"/>
      </top>
      <bottom style="thin">
        <color indexed="64"/>
      </bottom>
      <diagonal/>
    </border>
    <border>
      <left/>
      <right style="thick">
        <color auto="1"/>
      </right>
      <top style="medium">
        <color indexed="64"/>
      </top>
      <bottom style="thin">
        <color indexed="64"/>
      </bottom>
      <diagonal/>
    </border>
    <border>
      <left style="thin">
        <color indexed="64"/>
      </left>
      <right style="thin">
        <color indexed="64"/>
      </right>
      <top style="double">
        <color indexed="64"/>
      </top>
      <bottom style="dashed">
        <color indexed="64"/>
      </bottom>
      <diagonal/>
    </border>
    <border>
      <left style="thin">
        <color indexed="64"/>
      </left>
      <right style="double">
        <color indexed="64"/>
      </right>
      <top style="double">
        <color indexed="64"/>
      </top>
      <bottom style="dashed">
        <color indexed="64"/>
      </bottom>
      <diagonal/>
    </border>
    <border>
      <left style="thin">
        <color indexed="64"/>
      </left>
      <right style="thin">
        <color indexed="64"/>
      </right>
      <top style="dashed">
        <color indexed="64"/>
      </top>
      <bottom style="double">
        <color indexed="64"/>
      </bottom>
      <diagonal/>
    </border>
    <border>
      <left style="thin">
        <color indexed="64"/>
      </left>
      <right style="double">
        <color indexed="64"/>
      </right>
      <top style="dashed">
        <color indexed="64"/>
      </top>
      <bottom style="double">
        <color indexed="64"/>
      </bottom>
      <diagonal/>
    </border>
    <border>
      <left style="double">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double">
        <color indexed="64"/>
      </left>
      <right style="thin">
        <color indexed="64"/>
      </right>
      <top style="dashed">
        <color indexed="64"/>
      </top>
      <bottom style="double">
        <color indexed="64"/>
      </bottom>
      <diagonal/>
    </border>
    <border>
      <left style="double">
        <color indexed="64"/>
      </left>
      <right style="thin">
        <color indexed="64"/>
      </right>
      <top style="double">
        <color indexed="64"/>
      </top>
      <bottom style="dashed">
        <color indexed="64"/>
      </bottom>
      <diagonal/>
    </border>
    <border>
      <left style="double">
        <color indexed="64"/>
      </left>
      <right/>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10" fillId="0" borderId="0" applyNumberFormat="0" applyFill="0" applyBorder="0" applyAlignment="0" applyProtection="0"/>
    <xf numFmtId="0" fontId="7" fillId="0" borderId="0"/>
    <xf numFmtId="0" fontId="8" fillId="0" borderId="0"/>
    <xf numFmtId="0" fontId="93" fillId="0" borderId="0"/>
    <xf numFmtId="0" fontId="94" fillId="0" borderId="0"/>
  </cellStyleXfs>
  <cellXfs count="573">
    <xf numFmtId="0" fontId="0" fillId="0" borderId="0" xfId="0"/>
    <xf numFmtId="0" fontId="0" fillId="0" borderId="0" xfId="0" applyProtection="1">
      <protection hidden="1"/>
    </xf>
    <xf numFmtId="0" fontId="2" fillId="0" borderId="0" xfId="0" applyFont="1" applyProtection="1">
      <protection hidden="1"/>
    </xf>
    <xf numFmtId="0" fontId="11" fillId="0" borderId="0" xfId="0" applyFont="1" applyProtection="1">
      <protection hidden="1"/>
    </xf>
    <xf numFmtId="0" fontId="12" fillId="0" borderId="0" xfId="0" applyFont="1" applyAlignment="1" applyProtection="1">
      <alignment horizontal="center" vertical="center"/>
      <protection hidden="1"/>
    </xf>
    <xf numFmtId="0" fontId="12" fillId="0" borderId="0" xfId="0" applyFont="1" applyProtection="1">
      <protection hidden="1"/>
    </xf>
    <xf numFmtId="0" fontId="13" fillId="0" borderId="0" xfId="0" applyFont="1" applyProtection="1">
      <protection hidden="1"/>
    </xf>
    <xf numFmtId="0" fontId="12" fillId="0" borderId="0" xfId="0" applyFont="1" applyAlignment="1" applyProtection="1">
      <alignment horizontal="center"/>
      <protection hidden="1"/>
    </xf>
    <xf numFmtId="0" fontId="14" fillId="0" borderId="0" xfId="0" applyFont="1" applyAlignment="1" applyProtection="1">
      <alignment vertical="center"/>
      <protection hidden="1"/>
    </xf>
    <xf numFmtId="0" fontId="14" fillId="0" borderId="0" xfId="0" applyFont="1" applyAlignment="1" applyProtection="1">
      <alignment horizontal="right" vertical="center"/>
      <protection hidden="1"/>
    </xf>
    <xf numFmtId="0" fontId="15" fillId="0" borderId="0" xfId="0" applyFont="1" applyAlignment="1" applyProtection="1">
      <alignment vertical="center"/>
      <protection hidden="1"/>
    </xf>
    <xf numFmtId="0" fontId="16" fillId="0" borderId="0" xfId="1" applyFont="1" applyFill="1" applyBorder="1" applyProtection="1">
      <protection hidden="1"/>
    </xf>
    <xf numFmtId="0" fontId="12" fillId="0" borderId="0" xfId="0" applyFont="1" applyAlignment="1" applyProtection="1">
      <alignment horizontal="center" vertical="center" wrapText="1"/>
      <protection hidden="1"/>
    </xf>
    <xf numFmtId="0" fontId="17" fillId="0" borderId="0" xfId="0" applyFont="1" applyAlignment="1" applyProtection="1">
      <alignment vertical="center"/>
      <protection hidden="1"/>
    </xf>
    <xf numFmtId="0" fontId="18" fillId="0" borderId="0" xfId="0" applyFont="1" applyAlignment="1" applyProtection="1">
      <alignment vertical="center"/>
      <protection hidden="1"/>
    </xf>
    <xf numFmtId="0" fontId="19" fillId="0" borderId="0" xfId="0" applyFont="1" applyAlignment="1" applyProtection="1">
      <alignment vertical="center"/>
      <protection hidden="1"/>
    </xf>
    <xf numFmtId="0" fontId="19" fillId="0" borderId="0" xfId="0" applyFont="1" applyAlignment="1" applyProtection="1">
      <alignment vertical="center" shrinkToFit="1"/>
      <protection hidden="1"/>
    </xf>
    <xf numFmtId="0" fontId="19" fillId="0" borderId="0" xfId="0" applyFont="1" applyAlignment="1" applyProtection="1">
      <alignment horizontal="center" vertical="center"/>
      <protection hidden="1"/>
    </xf>
    <xf numFmtId="0" fontId="19" fillId="0" borderId="0" xfId="0" applyFont="1" applyAlignment="1" applyProtection="1">
      <alignment horizontal="right"/>
      <protection hidden="1"/>
    </xf>
    <xf numFmtId="0" fontId="19" fillId="0" borderId="0" xfId="0" applyFont="1" applyAlignment="1" applyProtection="1">
      <alignment horizontal="center"/>
      <protection hidden="1"/>
    </xf>
    <xf numFmtId="0" fontId="20" fillId="0" borderId="0" xfId="0" applyFont="1" applyAlignment="1" applyProtection="1">
      <alignment horizontal="center"/>
      <protection hidden="1"/>
    </xf>
    <xf numFmtId="0" fontId="19" fillId="0" borderId="0" xfId="0" applyFont="1" applyProtection="1">
      <protection hidden="1"/>
    </xf>
    <xf numFmtId="0" fontId="12" fillId="0" borderId="0" xfId="0" applyFont="1" applyAlignment="1" applyProtection="1">
      <alignment horizontal="right"/>
      <protection hidden="1"/>
    </xf>
    <xf numFmtId="0" fontId="21" fillId="0" borderId="0" xfId="0" applyFont="1" applyProtection="1">
      <protection hidden="1"/>
    </xf>
    <xf numFmtId="0" fontId="21" fillId="0" borderId="0" xfId="0" applyFont="1" applyAlignment="1" applyProtection="1">
      <alignment vertical="center" textRotation="90"/>
      <protection hidden="1"/>
    </xf>
    <xf numFmtId="0" fontId="21" fillId="0" borderId="0" xfId="0" applyFont="1" applyAlignment="1" applyProtection="1">
      <alignment vertical="center"/>
      <protection hidden="1"/>
    </xf>
    <xf numFmtId="0" fontId="12" fillId="0" borderId="0" xfId="0" applyFont="1" applyAlignment="1" applyProtection="1">
      <alignment vertical="center" wrapText="1"/>
      <protection hidden="1"/>
    </xf>
    <xf numFmtId="0" fontId="22" fillId="0" borderId="0" xfId="0" applyFont="1" applyAlignment="1" applyProtection="1">
      <alignment shrinkToFit="1"/>
      <protection hidden="1"/>
    </xf>
    <xf numFmtId="0" fontId="23" fillId="0" borderId="0" xfId="0" applyFont="1" applyProtection="1">
      <protection hidden="1"/>
    </xf>
    <xf numFmtId="0" fontId="24" fillId="3" borderId="1" xfId="0" applyFont="1" applyFill="1" applyBorder="1" applyAlignment="1" applyProtection="1">
      <alignment horizontal="center" vertical="center"/>
      <protection hidden="1"/>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3" borderId="1" xfId="0" applyFill="1" applyBorder="1" applyAlignment="1">
      <alignment horizontal="center" vertical="center"/>
    </xf>
    <xf numFmtId="0" fontId="11" fillId="0" borderId="0" xfId="0" applyFont="1"/>
    <xf numFmtId="0" fontId="1" fillId="3" borderId="7" xfId="0" applyFont="1"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9" fillId="6" borderId="8" xfId="0" applyFont="1" applyFill="1" applyBorder="1" applyAlignment="1">
      <alignment horizontal="center" vertical="center"/>
    </xf>
    <xf numFmtId="0" fontId="24" fillId="0" borderId="0" xfId="0" applyFont="1" applyAlignment="1" applyProtection="1">
      <alignment horizontal="center" vertical="center"/>
      <protection hidden="1"/>
    </xf>
    <xf numFmtId="0" fontId="3" fillId="5" borderId="0" xfId="0" applyFont="1" applyFill="1" applyAlignment="1" applyProtection="1">
      <alignment horizontal="center" vertical="center"/>
      <protection hidden="1"/>
    </xf>
    <xf numFmtId="0" fontId="25" fillId="0" borderId="29" xfId="0" applyFont="1" applyBorder="1" applyAlignment="1">
      <alignment horizontal="center" vertical="center"/>
    </xf>
    <xf numFmtId="0" fontId="25" fillId="0" borderId="0" xfId="0" applyFont="1" applyAlignment="1">
      <alignment horizontal="center" vertical="center"/>
    </xf>
    <xf numFmtId="0" fontId="0" fillId="0" borderId="30" xfId="0" applyBorder="1" applyAlignment="1">
      <alignment vertical="center"/>
    </xf>
    <xf numFmtId="0" fontId="4" fillId="5" borderId="0" xfId="0" applyFont="1" applyFill="1" applyAlignment="1" applyProtection="1">
      <alignment horizontal="center" vertical="center"/>
      <protection hidden="1"/>
    </xf>
    <xf numFmtId="0" fontId="0" fillId="6" borderId="0" xfId="0" applyFill="1" applyAlignment="1">
      <alignment vertical="center"/>
    </xf>
    <xf numFmtId="0" fontId="0" fillId="0" borderId="0" xfId="0" applyAlignment="1" applyProtection="1">
      <alignment horizontal="center" vertical="center"/>
      <protection hidden="1"/>
    </xf>
    <xf numFmtId="0" fontId="4" fillId="6" borderId="0" xfId="0" applyFont="1" applyFill="1" applyAlignment="1" applyProtection="1">
      <alignment horizontal="center" vertical="center" textRotation="90"/>
      <protection hidden="1"/>
    </xf>
    <xf numFmtId="0" fontId="9" fillId="0" borderId="0" xfId="0" applyFont="1" applyProtection="1">
      <protection hidden="1"/>
    </xf>
    <xf numFmtId="0" fontId="0" fillId="0" borderId="0" xfId="0" applyAlignment="1">
      <alignment horizontal="center" vertical="center"/>
    </xf>
    <xf numFmtId="0" fontId="4" fillId="3" borderId="0" xfId="0" applyFont="1" applyFill="1" applyAlignment="1" applyProtection="1">
      <alignment horizontal="center" vertical="center"/>
      <protection hidden="1"/>
    </xf>
    <xf numFmtId="0" fontId="0" fillId="0" borderId="39" xfId="0" applyBorder="1" applyAlignment="1">
      <alignment vertical="center"/>
    </xf>
    <xf numFmtId="0" fontId="4" fillId="3" borderId="17" xfId="0" applyFont="1" applyFill="1" applyBorder="1" applyAlignment="1" applyProtection="1">
      <alignment vertical="center"/>
      <protection hidden="1"/>
    </xf>
    <xf numFmtId="0" fontId="4" fillId="3" borderId="0" xfId="0" applyFont="1" applyFill="1" applyAlignment="1" applyProtection="1">
      <alignment vertical="center"/>
      <protection hidden="1"/>
    </xf>
    <xf numFmtId="0" fontId="32" fillId="0" borderId="0" xfId="0" applyFont="1" applyAlignment="1">
      <alignment horizontal="center" vertical="center"/>
    </xf>
    <xf numFmtId="0" fontId="29" fillId="0" borderId="0" xfId="0" applyFont="1"/>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41" fillId="0" borderId="0" xfId="0" applyFont="1" applyAlignment="1" applyProtection="1">
      <alignment vertical="center"/>
      <protection hidden="1"/>
    </xf>
    <xf numFmtId="0" fontId="42" fillId="0" borderId="0" xfId="0" applyFont="1"/>
    <xf numFmtId="0" fontId="43" fillId="6" borderId="17" xfId="0" applyFont="1" applyFill="1" applyBorder="1" applyAlignment="1">
      <alignment vertical="center"/>
    </xf>
    <xf numFmtId="0" fontId="9" fillId="0" borderId="30" xfId="0" applyFont="1" applyBorder="1" applyAlignment="1">
      <alignment vertical="center"/>
    </xf>
    <xf numFmtId="0" fontId="3" fillId="0" borderId="0" xfId="0" applyFont="1" applyAlignment="1" applyProtection="1">
      <alignment horizontal="center" vertical="center"/>
      <protection hidden="1"/>
    </xf>
    <xf numFmtId="0" fontId="24" fillId="0" borderId="0" xfId="0" applyFont="1" applyAlignment="1">
      <alignment horizontal="center" vertical="center"/>
    </xf>
    <xf numFmtId="0" fontId="3" fillId="0" borderId="0" xfId="0" applyFont="1" applyAlignment="1" applyProtection="1">
      <alignment horizontal="center" vertical="center" textRotation="90"/>
      <protection hidden="1"/>
    </xf>
    <xf numFmtId="0" fontId="4" fillId="0" borderId="0" xfId="0" applyFont="1" applyAlignment="1" applyProtection="1">
      <alignment horizontal="center" vertical="center" shrinkToFit="1"/>
      <protection hidden="1"/>
    </xf>
    <xf numFmtId="0" fontId="25" fillId="8" borderId="0" xfId="0" applyFont="1" applyFill="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32" fillId="0" borderId="0" xfId="0" applyFont="1" applyAlignment="1" applyProtection="1">
      <alignment horizontal="center" vertical="center"/>
      <protection hidden="1"/>
    </xf>
    <xf numFmtId="0" fontId="25" fillId="0" borderId="0" xfId="0" applyFont="1" applyAlignment="1" applyProtection="1">
      <alignment horizontal="center" vertical="center"/>
      <protection hidden="1"/>
    </xf>
    <xf numFmtId="0" fontId="21" fillId="6" borderId="57" xfId="0" applyFont="1" applyFill="1" applyBorder="1" applyAlignment="1" applyProtection="1">
      <alignment vertical="center" shrinkToFit="1"/>
      <protection hidden="1"/>
    </xf>
    <xf numFmtId="0" fontId="4" fillId="3" borderId="55" xfId="0" applyFont="1" applyFill="1" applyBorder="1" applyAlignment="1" applyProtection="1">
      <alignment vertical="center"/>
      <protection hidden="1"/>
    </xf>
    <xf numFmtId="0" fontId="4" fillId="3" borderId="56" xfId="0" applyFont="1" applyFill="1" applyBorder="1" applyAlignment="1" applyProtection="1">
      <alignment vertical="center"/>
      <protection hidden="1"/>
    </xf>
    <xf numFmtId="0" fontId="3" fillId="3" borderId="62" xfId="0" applyFont="1" applyFill="1" applyBorder="1" applyAlignment="1">
      <alignment horizontal="center" vertical="center"/>
    </xf>
    <xf numFmtId="0" fontId="3" fillId="3" borderId="63" xfId="0" applyFont="1" applyFill="1" applyBorder="1" applyAlignment="1">
      <alignment horizontal="center" vertical="center"/>
    </xf>
    <xf numFmtId="0" fontId="3" fillId="3" borderId="64" xfId="0" applyFont="1" applyFill="1" applyBorder="1" applyAlignment="1" applyProtection="1">
      <alignment horizontal="center" vertical="center"/>
      <protection hidden="1"/>
    </xf>
    <xf numFmtId="0" fontId="3" fillId="3" borderId="65" xfId="0" applyFont="1" applyFill="1" applyBorder="1" applyAlignment="1" applyProtection="1">
      <alignment horizontal="center" vertical="center"/>
      <protection hidden="1"/>
    </xf>
    <xf numFmtId="0" fontId="48" fillId="0" borderId="0" xfId="0" applyFont="1"/>
    <xf numFmtId="0" fontId="51" fillId="0" borderId="0" xfId="0" applyFont="1" applyAlignment="1">
      <alignment horizontal="center"/>
    </xf>
    <xf numFmtId="0" fontId="51" fillId="0" borderId="0" xfId="0" applyFont="1"/>
    <xf numFmtId="0" fontId="54" fillId="11" borderId="81" xfId="1" applyFont="1" applyFill="1" applyBorder="1"/>
    <xf numFmtId="0" fontId="58" fillId="0" borderId="0" xfId="0" applyFont="1"/>
    <xf numFmtId="0" fontId="58" fillId="0" borderId="0" xfId="0" applyFont="1" applyAlignment="1">
      <alignment horizontal="center"/>
    </xf>
    <xf numFmtId="0" fontId="60" fillId="0" borderId="0" xfId="1" applyFont="1" applyFill="1" applyBorder="1" applyAlignment="1">
      <alignment vertical="center" wrapText="1"/>
    </xf>
    <xf numFmtId="0" fontId="60" fillId="0" borderId="0" xfId="1" applyFont="1" applyFill="1" applyAlignment="1"/>
    <xf numFmtId="0" fontId="29" fillId="10" borderId="0" xfId="0" applyFont="1" applyFill="1"/>
    <xf numFmtId="0" fontId="0" fillId="10" borderId="0" xfId="0" applyFill="1"/>
    <xf numFmtId="0" fontId="25" fillId="10" borderId="0" xfId="0" applyFont="1" applyFill="1"/>
    <xf numFmtId="0" fontId="25" fillId="10" borderId="0" xfId="0" applyFont="1" applyFill="1" applyAlignment="1" applyProtection="1">
      <alignment horizontal="center" vertical="center"/>
      <protection hidden="1"/>
    </xf>
    <xf numFmtId="0" fontId="9" fillId="0" borderId="16" xfId="0" applyFont="1" applyBorder="1" applyAlignment="1">
      <alignment vertical="center"/>
    </xf>
    <xf numFmtId="0" fontId="43" fillId="0" borderId="17" xfId="0" applyFont="1" applyBorder="1" applyAlignment="1">
      <alignment vertical="center"/>
    </xf>
    <xf numFmtId="0" fontId="0" fillId="0" borderId="16" xfId="0" applyBorder="1" applyAlignment="1">
      <alignment vertical="center"/>
    </xf>
    <xf numFmtId="0" fontId="9" fillId="0" borderId="17" xfId="0" applyFont="1" applyBorder="1" applyAlignment="1">
      <alignment vertical="center"/>
    </xf>
    <xf numFmtId="0" fontId="29" fillId="0" borderId="0" xfId="0" applyFont="1" applyProtection="1">
      <protection hidden="1"/>
    </xf>
    <xf numFmtId="0" fontId="0" fillId="0" borderId="0" xfId="0" applyAlignment="1" applyProtection="1">
      <alignment horizontal="center"/>
      <protection hidden="1"/>
    </xf>
    <xf numFmtId="0" fontId="24" fillId="7" borderId="10" xfId="0" applyFont="1" applyFill="1" applyBorder="1" applyAlignment="1">
      <alignment horizontal="center" vertical="center"/>
    </xf>
    <xf numFmtId="0" fontId="24" fillId="4" borderId="4" xfId="0" applyFont="1" applyFill="1" applyBorder="1" applyAlignment="1" applyProtection="1">
      <alignment horizontal="center" vertical="center"/>
      <protection hidden="1"/>
    </xf>
    <xf numFmtId="0" fontId="28" fillId="11" borderId="0" xfId="0" applyFont="1" applyFill="1" applyAlignment="1" applyProtection="1">
      <alignment vertical="center"/>
      <protection hidden="1"/>
    </xf>
    <xf numFmtId="0" fontId="56" fillId="20" borderId="101" xfId="0" applyFont="1" applyFill="1" applyBorder="1" applyAlignment="1" applyProtection="1">
      <alignment vertical="center"/>
      <protection hidden="1"/>
    </xf>
    <xf numFmtId="0" fontId="27" fillId="0" borderId="0" xfId="0" applyFont="1" applyAlignment="1" applyProtection="1">
      <alignment vertical="center"/>
      <protection hidden="1"/>
    </xf>
    <xf numFmtId="165" fontId="26" fillId="0" borderId="93" xfId="0" applyNumberFormat="1" applyFont="1" applyBorder="1" applyAlignment="1" applyProtection="1">
      <alignment vertical="center" shrinkToFit="1"/>
      <protection hidden="1"/>
    </xf>
    <xf numFmtId="0" fontId="0" fillId="0" borderId="93" xfId="0" applyBorder="1" applyProtection="1">
      <protection hidden="1"/>
    </xf>
    <xf numFmtId="0" fontId="63" fillId="0" borderId="93" xfId="0" applyFont="1" applyBorder="1" applyAlignment="1" applyProtection="1">
      <alignment vertical="center"/>
      <protection hidden="1"/>
    </xf>
    <xf numFmtId="165" fontId="65" fillId="0" borderId="93" xfId="0" applyNumberFormat="1" applyFont="1" applyBorder="1" applyAlignment="1" applyProtection="1">
      <alignment vertical="center" shrinkToFit="1"/>
      <protection hidden="1"/>
    </xf>
    <xf numFmtId="165" fontId="66" fillId="0" borderId="93" xfId="0" applyNumberFormat="1" applyFont="1" applyBorder="1" applyAlignment="1" applyProtection="1">
      <alignment vertical="center"/>
      <protection hidden="1"/>
    </xf>
    <xf numFmtId="165" fontId="25" fillId="0" borderId="93" xfId="0" applyNumberFormat="1" applyFont="1" applyBorder="1" applyAlignment="1" applyProtection="1">
      <alignment vertical="center" shrinkToFit="1"/>
      <protection hidden="1"/>
    </xf>
    <xf numFmtId="0" fontId="9" fillId="0" borderId="93" xfId="0" applyFont="1" applyBorder="1" applyAlignment="1" applyProtection="1">
      <alignment vertical="center"/>
      <protection hidden="1"/>
    </xf>
    <xf numFmtId="0" fontId="7" fillId="0" borderId="12" xfId="0" applyFont="1" applyBorder="1" applyAlignment="1" applyProtection="1">
      <alignment vertical="center" shrinkToFit="1"/>
      <protection hidden="1"/>
    </xf>
    <xf numFmtId="0" fontId="81" fillId="6" borderId="93" xfId="0" applyFont="1" applyFill="1" applyBorder="1" applyAlignment="1" applyProtection="1">
      <alignment horizontal="center" vertical="center" shrinkToFit="1"/>
      <protection hidden="1"/>
    </xf>
    <xf numFmtId="0" fontId="83" fillId="10" borderId="93" xfId="0" applyFont="1" applyFill="1" applyBorder="1" applyAlignment="1" applyProtection="1">
      <alignment horizontal="center" vertical="center" shrinkToFit="1"/>
      <protection hidden="1"/>
    </xf>
    <xf numFmtId="0" fontId="84" fillId="10" borderId="93" xfId="0" applyFont="1" applyFill="1" applyBorder="1" applyAlignment="1" applyProtection="1">
      <alignment horizontal="center" vertical="center" shrinkToFit="1"/>
      <protection hidden="1"/>
    </xf>
    <xf numFmtId="0" fontId="85" fillId="6" borderId="93" xfId="1" applyFont="1" applyFill="1" applyBorder="1" applyAlignment="1" applyProtection="1">
      <alignment horizontal="center" vertical="center" shrinkToFit="1"/>
      <protection hidden="1"/>
    </xf>
    <xf numFmtId="0" fontId="79" fillId="10" borderId="93" xfId="0" applyFont="1" applyFill="1" applyBorder="1" applyAlignment="1" applyProtection="1">
      <alignment horizontal="center" vertical="center" shrinkToFit="1"/>
      <protection hidden="1"/>
    </xf>
    <xf numFmtId="0" fontId="86" fillId="6" borderId="93" xfId="0" applyFont="1" applyFill="1" applyBorder="1" applyAlignment="1" applyProtection="1">
      <alignment horizontal="center" vertical="center" shrinkToFit="1"/>
      <protection hidden="1"/>
    </xf>
    <xf numFmtId="49" fontId="67" fillId="3" borderId="93" xfId="0" applyNumberFormat="1" applyFont="1" applyFill="1" applyBorder="1" applyAlignment="1" applyProtection="1">
      <alignment horizontal="center" vertical="center" shrinkToFit="1"/>
      <protection hidden="1"/>
    </xf>
    <xf numFmtId="164" fontId="67" fillId="3" borderId="93" xfId="0" applyNumberFormat="1" applyFont="1" applyFill="1" applyBorder="1" applyAlignment="1" applyProtection="1">
      <alignment horizontal="center" vertical="center" shrinkToFit="1"/>
      <protection hidden="1"/>
    </xf>
    <xf numFmtId="0" fontId="83" fillId="0" borderId="93" xfId="0" applyFont="1" applyBorder="1" applyAlignment="1" applyProtection="1">
      <alignment horizontal="center" vertical="center" shrinkToFit="1"/>
      <protection hidden="1"/>
    </xf>
    <xf numFmtId="14" fontId="68" fillId="0" borderId="93" xfId="0" applyNumberFormat="1" applyFont="1" applyBorder="1" applyAlignment="1" applyProtection="1">
      <alignment horizontal="center" vertical="center" shrinkToFit="1"/>
      <protection hidden="1"/>
    </xf>
    <xf numFmtId="0" fontId="67" fillId="3" borderId="93" xfId="1" applyFont="1" applyFill="1" applyBorder="1" applyAlignment="1" applyProtection="1">
      <alignment vertical="center" shrinkToFit="1"/>
      <protection hidden="1"/>
    </xf>
    <xf numFmtId="0" fontId="0" fillId="3" borderId="1" xfId="0" applyFill="1" applyBorder="1" applyAlignment="1">
      <alignment horizontal="center" vertical="center" shrinkToFit="1"/>
    </xf>
    <xf numFmtId="0" fontId="26" fillId="0" borderId="93" xfId="0" applyFont="1" applyBorder="1" applyAlignment="1" applyProtection="1">
      <alignment vertical="center"/>
      <protection hidden="1"/>
    </xf>
    <xf numFmtId="0" fontId="79" fillId="23" borderId="93" xfId="0" applyFont="1" applyFill="1" applyBorder="1" applyAlignment="1" applyProtection="1">
      <alignment horizontal="center" vertical="center" shrinkToFit="1"/>
      <protection hidden="1"/>
    </xf>
    <xf numFmtId="0" fontId="67" fillId="3" borderId="93" xfId="1" applyFont="1" applyFill="1" applyBorder="1" applyAlignment="1" applyProtection="1">
      <alignment horizontal="center" vertical="center" shrinkToFit="1"/>
      <protection hidden="1"/>
    </xf>
    <xf numFmtId="0" fontId="79" fillId="11" borderId="93" xfId="0" applyFont="1" applyFill="1" applyBorder="1" applyAlignment="1" applyProtection="1">
      <alignment horizontal="center" vertical="center" shrinkToFit="1"/>
      <protection hidden="1"/>
    </xf>
    <xf numFmtId="0" fontId="3" fillId="5" borderId="6" xfId="0" applyFont="1" applyFill="1" applyBorder="1" applyAlignment="1">
      <alignment horizontal="center" vertical="center"/>
    </xf>
    <xf numFmtId="0" fontId="67" fillId="3" borderId="93" xfId="0" applyFont="1" applyFill="1" applyBorder="1" applyAlignment="1" applyProtection="1">
      <alignment horizontal="center" vertical="center" shrinkToFit="1"/>
      <protection hidden="1"/>
    </xf>
    <xf numFmtId="0" fontId="28" fillId="10" borderId="8" xfId="0" applyFont="1" applyFill="1" applyBorder="1" applyAlignment="1">
      <alignment horizontal="center" vertical="center"/>
    </xf>
    <xf numFmtId="0" fontId="7" fillId="3" borderId="12" xfId="0" applyFont="1" applyFill="1" applyBorder="1" applyAlignment="1" applyProtection="1">
      <alignment horizontal="center" vertical="center" shrinkToFit="1"/>
      <protection hidden="1"/>
    </xf>
    <xf numFmtId="0" fontId="73" fillId="0" borderId="12" xfId="0" applyFont="1" applyBorder="1" applyAlignment="1" applyProtection="1">
      <alignment horizontal="center" vertical="center" shrinkToFit="1"/>
      <protection hidden="1"/>
    </xf>
    <xf numFmtId="0" fontId="4" fillId="3" borderId="19" xfId="0" applyFont="1" applyFill="1" applyBorder="1" applyAlignment="1" applyProtection="1">
      <alignment horizontal="center" vertical="center" shrinkToFit="1"/>
      <protection hidden="1"/>
    </xf>
    <xf numFmtId="0" fontId="4" fillId="3" borderId="18" xfId="0" applyFont="1" applyFill="1" applyBorder="1" applyAlignment="1" applyProtection="1">
      <alignment horizontal="center" vertical="center" shrinkToFit="1"/>
      <protection hidden="1"/>
    </xf>
    <xf numFmtId="0" fontId="4" fillId="3" borderId="2" xfId="0" applyFont="1" applyFill="1" applyBorder="1" applyAlignment="1" applyProtection="1">
      <alignment horizontal="center" vertical="center" shrinkToFit="1"/>
      <protection hidden="1"/>
    </xf>
    <xf numFmtId="0" fontId="41" fillId="2" borderId="19" xfId="0" applyFont="1" applyFill="1" applyBorder="1" applyAlignment="1" applyProtection="1">
      <alignment horizontal="center" vertical="center" wrapText="1"/>
      <protection hidden="1"/>
    </xf>
    <xf numFmtId="0" fontId="73" fillId="0" borderId="0" xfId="0" applyFont="1" applyProtection="1">
      <protection hidden="1"/>
    </xf>
    <xf numFmtId="0" fontId="73" fillId="3" borderId="1" xfId="0" applyFont="1" applyFill="1" applyBorder="1" applyAlignment="1" applyProtection="1">
      <alignment horizontal="center" vertical="center"/>
      <protection hidden="1"/>
    </xf>
    <xf numFmtId="0" fontId="73" fillId="23" borderId="0" xfId="0" applyFont="1" applyFill="1" applyAlignment="1" applyProtection="1">
      <alignment horizontal="center" vertical="center"/>
      <protection hidden="1"/>
    </xf>
    <xf numFmtId="0" fontId="73" fillId="23" borderId="0" xfId="0" applyFont="1" applyFill="1" applyProtection="1">
      <protection hidden="1"/>
    </xf>
    <xf numFmtId="0" fontId="72" fillId="0" borderId="29" xfId="0" applyFont="1" applyBorder="1" applyAlignment="1" applyProtection="1">
      <alignment horizontal="center" vertical="center"/>
      <protection hidden="1"/>
    </xf>
    <xf numFmtId="0" fontId="73" fillId="23" borderId="0" xfId="0" applyFont="1" applyFill="1" applyAlignment="1" applyProtection="1">
      <alignment horizontal="center" vertical="center" wrapText="1"/>
      <protection hidden="1"/>
    </xf>
    <xf numFmtId="0" fontId="72" fillId="0" borderId="0" xfId="0" applyFont="1" applyAlignment="1" applyProtection="1">
      <alignment horizontal="center" vertical="center"/>
      <protection hidden="1"/>
    </xf>
    <xf numFmtId="0" fontId="1" fillId="0" borderId="0" xfId="0" applyFont="1" applyAlignment="1" applyProtection="1">
      <alignment vertical="center"/>
      <protection hidden="1"/>
    </xf>
    <xf numFmtId="0" fontId="73" fillId="0" borderId="0" xfId="0" applyFont="1" applyAlignment="1" applyProtection="1">
      <alignment horizontal="center" vertical="center"/>
      <protection hidden="1"/>
    </xf>
    <xf numFmtId="0" fontId="1" fillId="2" borderId="19" xfId="0" applyFont="1" applyFill="1" applyBorder="1" applyAlignment="1" applyProtection="1">
      <alignment horizontal="center" vertical="center" wrapText="1"/>
      <protection hidden="1"/>
    </xf>
    <xf numFmtId="0" fontId="1" fillId="2" borderId="9"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shrinkToFit="1"/>
      <protection hidden="1"/>
    </xf>
    <xf numFmtId="0" fontId="1" fillId="2" borderId="3" xfId="0" applyFont="1" applyFill="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1" fillId="0" borderId="0" xfId="0" applyFont="1" applyAlignment="1" applyProtection="1">
      <alignment vertical="center" shrinkToFit="1"/>
      <protection hidden="1"/>
    </xf>
    <xf numFmtId="0" fontId="1" fillId="0" borderId="0" xfId="0" applyFont="1" applyAlignment="1" applyProtection="1">
      <alignment horizontal="center" vertical="center" shrinkToFit="1"/>
      <protection hidden="1"/>
    </xf>
    <xf numFmtId="0" fontId="88" fillId="0" borderId="0" xfId="0" applyFont="1" applyAlignment="1" applyProtection="1">
      <alignment horizontal="center" vertical="center"/>
      <protection hidden="1"/>
    </xf>
    <xf numFmtId="0" fontId="73" fillId="0" borderId="23" xfId="0" applyFont="1" applyBorder="1" applyAlignment="1" applyProtection="1">
      <alignment horizontal="center" vertical="center"/>
      <protection hidden="1"/>
    </xf>
    <xf numFmtId="0" fontId="73" fillId="0" borderId="52" xfId="0"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73" fillId="0" borderId="0" xfId="0" applyFont="1" applyAlignment="1" applyProtection="1">
      <alignment vertical="center"/>
      <protection hidden="1"/>
    </xf>
    <xf numFmtId="0" fontId="40" fillId="0" borderId="0" xfId="0" applyFont="1" applyAlignment="1" applyProtection="1">
      <alignment horizontal="center" vertical="center"/>
      <protection hidden="1"/>
    </xf>
    <xf numFmtId="0" fontId="73" fillId="0" borderId="0" xfId="0" applyFont="1" applyAlignment="1" applyProtection="1">
      <alignment vertical="center" wrapText="1"/>
      <protection hidden="1"/>
    </xf>
    <xf numFmtId="0" fontId="73" fillId="0" borderId="0" xfId="0" applyFont="1" applyAlignment="1" applyProtection="1">
      <alignment vertical="top" wrapText="1"/>
      <protection hidden="1"/>
    </xf>
    <xf numFmtId="0" fontId="90" fillId="0" borderId="14" xfId="0" applyFont="1" applyBorder="1" applyAlignment="1" applyProtection="1">
      <alignment horizontal="center" vertical="center" shrinkToFit="1"/>
      <protection hidden="1"/>
    </xf>
    <xf numFmtId="0" fontId="90" fillId="0" borderId="12" xfId="0" applyFont="1" applyBorder="1" applyAlignment="1" applyProtection="1">
      <alignment horizontal="right" vertical="center" shrinkToFit="1"/>
      <protection hidden="1"/>
    </xf>
    <xf numFmtId="0" fontId="90" fillId="0" borderId="12" xfId="0" applyFont="1" applyBorder="1" applyAlignment="1" applyProtection="1">
      <alignment horizontal="left" vertical="center" shrinkToFit="1"/>
      <protection hidden="1"/>
    </xf>
    <xf numFmtId="0" fontId="89" fillId="0" borderId="12" xfId="0" applyFont="1" applyBorder="1" applyAlignment="1" applyProtection="1">
      <alignment horizontal="right" vertical="center" shrinkToFit="1"/>
      <protection hidden="1"/>
    </xf>
    <xf numFmtId="0" fontId="89" fillId="0" borderId="13" xfId="0" applyFont="1" applyBorder="1" applyAlignment="1" applyProtection="1">
      <alignment horizontal="right" vertical="center" shrinkToFit="1"/>
      <protection hidden="1"/>
    </xf>
    <xf numFmtId="165" fontId="26" fillId="0" borderId="100" xfId="0" applyNumberFormat="1" applyFont="1" applyBorder="1" applyAlignment="1" applyProtection="1">
      <alignment vertical="center" shrinkToFit="1"/>
      <protection hidden="1"/>
    </xf>
    <xf numFmtId="0" fontId="26" fillId="0" borderId="100" xfId="0" applyFont="1" applyBorder="1" applyAlignment="1" applyProtection="1">
      <alignment vertical="center" shrinkToFit="1"/>
      <protection hidden="1"/>
    </xf>
    <xf numFmtId="0" fontId="13" fillId="23" borderId="0" xfId="0" applyFont="1" applyFill="1" applyProtection="1">
      <protection hidden="1"/>
    </xf>
    <xf numFmtId="0" fontId="7" fillId="0" borderId="18" xfId="0" applyFont="1" applyBorder="1" applyAlignment="1" applyProtection="1">
      <alignment horizontal="center" vertical="center"/>
      <protection hidden="1"/>
    </xf>
    <xf numFmtId="0" fontId="1" fillId="0" borderId="53" xfId="0" applyFont="1" applyBorder="1" applyAlignment="1" applyProtection="1">
      <alignment vertical="center" textRotation="90" shrinkToFit="1"/>
      <protection hidden="1"/>
    </xf>
    <xf numFmtId="0" fontId="1" fillId="0" borderId="53" xfId="0" applyFont="1" applyBorder="1" applyAlignment="1" applyProtection="1">
      <alignment horizontal="center" vertical="top" shrinkToFit="1"/>
      <protection hidden="1"/>
    </xf>
    <xf numFmtId="0" fontId="73" fillId="0" borderId="53" xfId="0" applyFont="1" applyBorder="1" applyAlignment="1" applyProtection="1">
      <alignment horizontal="center" vertical="center" shrinkToFit="1"/>
      <protection hidden="1"/>
    </xf>
    <xf numFmtId="49" fontId="0" fillId="0" borderId="0" xfId="0" applyNumberFormat="1" applyProtection="1">
      <protection hidden="1"/>
    </xf>
    <xf numFmtId="0" fontId="46" fillId="9" borderId="147" xfId="0" applyFont="1" applyFill="1" applyBorder="1" applyAlignment="1" applyProtection="1">
      <alignment horizontal="center" vertical="center"/>
      <protection hidden="1"/>
    </xf>
    <xf numFmtId="49" fontId="46" fillId="9" borderId="147" xfId="0" applyNumberFormat="1" applyFont="1" applyFill="1" applyBorder="1" applyAlignment="1" applyProtection="1">
      <alignment horizontal="center" vertical="center"/>
      <protection hidden="1"/>
    </xf>
    <xf numFmtId="0" fontId="46" fillId="9" borderId="148" xfId="0" applyFont="1" applyFill="1" applyBorder="1" applyAlignment="1" applyProtection="1">
      <alignment horizontal="center" vertical="center"/>
      <protection hidden="1"/>
    </xf>
    <xf numFmtId="49" fontId="87" fillId="5" borderId="149" xfId="0" applyNumberFormat="1" applyFont="1" applyFill="1" applyBorder="1" applyAlignment="1" applyProtection="1">
      <alignment horizontal="center" vertical="center" shrinkToFit="1"/>
      <protection locked="0" hidden="1"/>
    </xf>
    <xf numFmtId="0" fontId="87" fillId="5" borderId="149" xfId="0" applyFont="1" applyFill="1" applyBorder="1" applyAlignment="1" applyProtection="1">
      <alignment horizontal="center" vertical="center" shrinkToFit="1"/>
      <protection locked="0" hidden="1"/>
    </xf>
    <xf numFmtId="0" fontId="87" fillId="5" borderId="150" xfId="0" applyFont="1" applyFill="1" applyBorder="1" applyAlignment="1" applyProtection="1">
      <alignment horizontal="center" vertical="center" shrinkToFit="1"/>
      <protection locked="0" hidden="1"/>
    </xf>
    <xf numFmtId="0" fontId="46" fillId="9" borderId="151" xfId="0" applyFont="1" applyFill="1" applyBorder="1" applyAlignment="1" applyProtection="1">
      <alignment horizontal="center" vertical="center"/>
      <protection hidden="1"/>
    </xf>
    <xf numFmtId="0" fontId="46" fillId="9" borderId="152" xfId="0" applyFont="1" applyFill="1" applyBorder="1" applyAlignment="1" applyProtection="1">
      <alignment horizontal="center" vertical="center"/>
      <protection hidden="1"/>
    </xf>
    <xf numFmtId="49" fontId="71" fillId="0" borderId="0" xfId="0" applyNumberFormat="1" applyFont="1" applyAlignment="1" applyProtection="1">
      <alignment shrinkToFit="1"/>
      <protection hidden="1"/>
    </xf>
    <xf numFmtId="0" fontId="87" fillId="5" borderId="153" xfId="0" applyFont="1" applyFill="1" applyBorder="1" applyAlignment="1" applyProtection="1">
      <alignment horizontal="center" vertical="center" shrinkToFit="1"/>
      <protection locked="0" hidden="1"/>
    </xf>
    <xf numFmtId="0" fontId="46" fillId="9" borderId="154" xfId="0" applyFont="1" applyFill="1" applyBorder="1" applyAlignment="1" applyProtection="1">
      <alignment horizontal="center" vertical="center"/>
      <protection hidden="1"/>
    </xf>
    <xf numFmtId="164" fontId="87" fillId="5" borderId="153" xfId="0" applyNumberFormat="1" applyFont="1" applyFill="1" applyBorder="1" applyAlignment="1" applyProtection="1">
      <alignment horizontal="center" vertical="center" shrinkToFit="1"/>
      <protection locked="0" hidden="1"/>
    </xf>
    <xf numFmtId="0" fontId="27" fillId="0" borderId="0" xfId="0" applyFont="1" applyAlignment="1" applyProtection="1">
      <alignment horizontal="center" vertical="center"/>
      <protection hidden="1"/>
    </xf>
    <xf numFmtId="0" fontId="30" fillId="11" borderId="31" xfId="0" applyFont="1" applyFill="1" applyBorder="1" applyAlignment="1" applyProtection="1">
      <alignment horizontal="center" vertical="center"/>
      <protection hidden="1"/>
    </xf>
    <xf numFmtId="0" fontId="30" fillId="11" borderId="32" xfId="0" applyFont="1" applyFill="1" applyBorder="1" applyAlignment="1" applyProtection="1">
      <alignment horizontal="center" vertical="center"/>
      <protection hidden="1"/>
    </xf>
    <xf numFmtId="14" fontId="30" fillId="11" borderId="32" xfId="0" applyNumberFormat="1" applyFont="1" applyFill="1" applyBorder="1" applyAlignment="1" applyProtection="1">
      <alignment horizontal="center" vertical="center"/>
      <protection hidden="1"/>
    </xf>
    <xf numFmtId="0" fontId="26" fillId="0" borderId="29" xfId="0" applyFont="1" applyBorder="1" applyAlignment="1" applyProtection="1">
      <alignment vertical="center"/>
      <protection hidden="1"/>
    </xf>
    <xf numFmtId="0" fontId="31" fillId="11" borderId="31" xfId="0" applyFont="1" applyFill="1" applyBorder="1" applyAlignment="1" applyProtection="1">
      <alignment horizontal="center" vertical="center"/>
      <protection hidden="1"/>
    </xf>
    <xf numFmtId="0" fontId="31" fillId="11" borderId="32" xfId="0" applyFont="1" applyFill="1" applyBorder="1" applyAlignment="1" applyProtection="1">
      <alignment horizontal="center" vertical="center"/>
      <protection hidden="1"/>
    </xf>
    <xf numFmtId="14" fontId="31" fillId="11" borderId="32" xfId="0" applyNumberFormat="1" applyFont="1" applyFill="1" applyBorder="1" applyAlignment="1" applyProtection="1">
      <alignment horizontal="center" vertical="center"/>
      <protection hidden="1"/>
    </xf>
    <xf numFmtId="0" fontId="77" fillId="19" borderId="33" xfId="0" applyFont="1" applyFill="1" applyBorder="1" applyAlignment="1" applyProtection="1">
      <alignment horizontal="center"/>
      <protection hidden="1"/>
    </xf>
    <xf numFmtId="164" fontId="77" fillId="19" borderId="33" xfId="0" applyNumberFormat="1" applyFont="1" applyFill="1" applyBorder="1" applyAlignment="1" applyProtection="1">
      <alignment horizontal="center"/>
      <protection hidden="1"/>
    </xf>
    <xf numFmtId="49" fontId="77" fillId="19" borderId="33" xfId="0" applyNumberFormat="1" applyFont="1" applyFill="1" applyBorder="1" applyAlignment="1" applyProtection="1">
      <alignment horizontal="center"/>
      <protection hidden="1"/>
    </xf>
    <xf numFmtId="0" fontId="77" fillId="19" borderId="34" xfId="0" applyFont="1" applyFill="1" applyBorder="1" applyAlignment="1" applyProtection="1">
      <alignment horizontal="center"/>
      <protection hidden="1"/>
    </xf>
    <xf numFmtId="0" fontId="77" fillId="19" borderId="41" xfId="0" applyFont="1" applyFill="1" applyBorder="1" applyAlignment="1" applyProtection="1">
      <alignment horizontal="center"/>
      <protection hidden="1"/>
    </xf>
    <xf numFmtId="0" fontId="77" fillId="19" borderId="35" xfId="0" applyFont="1" applyFill="1" applyBorder="1" applyAlignment="1" applyProtection="1">
      <alignment horizontal="center"/>
      <protection hidden="1"/>
    </xf>
    <xf numFmtId="0" fontId="77" fillId="19" borderId="139" xfId="0" applyFont="1" applyFill="1" applyBorder="1" applyAlignment="1" applyProtection="1">
      <alignment horizontal="center"/>
      <protection hidden="1"/>
    </xf>
    <xf numFmtId="0" fontId="50" fillId="17" borderId="140" xfId="0" applyFont="1" applyFill="1" applyBorder="1" applyAlignment="1" applyProtection="1">
      <alignment horizontal="center" vertical="center"/>
      <protection hidden="1"/>
    </xf>
    <xf numFmtId="0" fontId="77" fillId="9" borderId="20" xfId="0" applyFont="1" applyFill="1" applyBorder="1" applyAlignment="1" applyProtection="1">
      <alignment horizontal="center" vertical="center"/>
      <protection hidden="1"/>
    </xf>
    <xf numFmtId="0" fontId="50" fillId="17" borderId="20" xfId="0" applyFont="1" applyFill="1" applyBorder="1" applyAlignment="1" applyProtection="1">
      <alignment horizontal="center" vertical="center"/>
      <protection hidden="1"/>
    </xf>
    <xf numFmtId="0" fontId="77" fillId="9" borderId="133" xfId="0" applyFont="1" applyFill="1" applyBorder="1" applyAlignment="1" applyProtection="1">
      <alignment horizontal="center" vertical="center"/>
      <protection hidden="1"/>
    </xf>
    <xf numFmtId="0" fontId="50" fillId="17" borderId="132" xfId="0" applyFont="1" applyFill="1" applyBorder="1" applyAlignment="1" applyProtection="1">
      <alignment horizontal="center" vertical="center"/>
      <protection hidden="1"/>
    </xf>
    <xf numFmtId="0" fontId="77" fillId="9" borderId="141" xfId="0" applyFont="1" applyFill="1" applyBorder="1" applyAlignment="1" applyProtection="1">
      <alignment horizontal="center" vertical="center"/>
      <protection hidden="1"/>
    </xf>
    <xf numFmtId="0" fontId="77" fillId="3" borderId="132" xfId="0" applyFont="1" applyFill="1" applyBorder="1" applyAlignment="1" applyProtection="1">
      <alignment horizontal="center" vertical="center"/>
      <protection hidden="1"/>
    </xf>
    <xf numFmtId="0" fontId="77" fillId="3" borderId="20" xfId="0" applyFont="1" applyFill="1" applyBorder="1" applyAlignment="1" applyProtection="1">
      <alignment horizontal="center" vertical="center"/>
      <protection hidden="1"/>
    </xf>
    <xf numFmtId="1" fontId="77" fillId="3" borderId="133" xfId="0" applyNumberFormat="1" applyFont="1" applyFill="1" applyBorder="1" applyAlignment="1" applyProtection="1">
      <alignment horizontal="center"/>
      <protection hidden="1"/>
    </xf>
    <xf numFmtId="0" fontId="77" fillId="3" borderId="133" xfId="0" applyFont="1" applyFill="1" applyBorder="1" applyAlignment="1" applyProtection="1">
      <alignment horizontal="center"/>
      <protection hidden="1"/>
    </xf>
    <xf numFmtId="0" fontId="77" fillId="3" borderId="132" xfId="0" applyFont="1" applyFill="1" applyBorder="1" applyAlignment="1" applyProtection="1">
      <alignment horizontal="center"/>
      <protection hidden="1"/>
    </xf>
    <xf numFmtId="0" fontId="77" fillId="3" borderId="20" xfId="0" applyFont="1" applyFill="1" applyBorder="1" applyAlignment="1" applyProtection="1">
      <alignment horizontal="center"/>
      <protection hidden="1"/>
    </xf>
    <xf numFmtId="0" fontId="78" fillId="3" borderId="20" xfId="0" applyFont="1" applyFill="1" applyBorder="1" applyAlignment="1" applyProtection="1">
      <alignment horizontal="center"/>
      <protection hidden="1"/>
    </xf>
    <xf numFmtId="0" fontId="77" fillId="3" borderId="20" xfId="0" applyFont="1" applyFill="1" applyBorder="1" applyProtection="1">
      <protection hidden="1"/>
    </xf>
    <xf numFmtId="0" fontId="77" fillId="3" borderId="133" xfId="0" applyFont="1" applyFill="1" applyBorder="1" applyAlignment="1" applyProtection="1">
      <alignment horizontal="center" vertical="center"/>
      <protection hidden="1"/>
    </xf>
    <xf numFmtId="0" fontId="29" fillId="0" borderId="20" xfId="0" applyFont="1" applyBorder="1" applyProtection="1">
      <protection hidden="1"/>
    </xf>
    <xf numFmtId="14" fontId="0" fillId="0" borderId="0" xfId="0" applyNumberFormat="1" applyProtection="1">
      <protection hidden="1"/>
    </xf>
    <xf numFmtId="0" fontId="47" fillId="9" borderId="0" xfId="0" applyFont="1" applyFill="1" applyAlignment="1" applyProtection="1">
      <alignment horizontal="center" vertical="center" wrapText="1"/>
      <protection hidden="1"/>
    </xf>
    <xf numFmtId="0" fontId="37" fillId="0" borderId="0" xfId="0" applyFont="1" applyAlignment="1" applyProtection="1">
      <alignment horizontal="center" vertical="center"/>
      <protection hidden="1"/>
    </xf>
    <xf numFmtId="0" fontId="32" fillId="0" borderId="29" xfId="0" applyFont="1" applyBorder="1" applyAlignment="1" applyProtection="1">
      <alignment horizontal="center" vertical="center"/>
      <protection hidden="1"/>
    </xf>
    <xf numFmtId="0" fontId="73" fillId="23" borderId="118" xfId="0" applyFont="1" applyFill="1" applyBorder="1" applyAlignment="1" applyProtection="1">
      <alignment vertical="center" wrapText="1"/>
      <protection hidden="1"/>
    </xf>
    <xf numFmtId="0" fontId="73" fillId="23" borderId="119" xfId="0" applyFont="1" applyFill="1" applyBorder="1" applyAlignment="1" applyProtection="1">
      <alignment vertical="center" wrapText="1"/>
      <protection hidden="1"/>
    </xf>
    <xf numFmtId="0" fontId="73" fillId="23" borderId="120" xfId="0" applyFont="1" applyFill="1" applyBorder="1" applyAlignment="1" applyProtection="1">
      <alignment vertical="center" wrapText="1"/>
      <protection hidden="1"/>
    </xf>
    <xf numFmtId="0" fontId="73" fillId="23" borderId="121" xfId="0" applyFont="1" applyFill="1" applyBorder="1" applyAlignment="1" applyProtection="1">
      <alignment vertical="center" wrapText="1"/>
      <protection hidden="1"/>
    </xf>
    <xf numFmtId="0" fontId="73" fillId="23" borderId="122" xfId="0" applyFont="1" applyFill="1" applyBorder="1" applyAlignment="1" applyProtection="1">
      <alignment vertical="center" wrapText="1"/>
      <protection hidden="1"/>
    </xf>
    <xf numFmtId="0" fontId="73" fillId="23" borderId="123" xfId="0" applyFont="1" applyFill="1" applyBorder="1" applyAlignment="1" applyProtection="1">
      <alignment vertical="center" wrapText="1"/>
      <protection hidden="1"/>
    </xf>
    <xf numFmtId="0" fontId="95" fillId="0" borderId="0" xfId="0" applyFont="1" applyProtection="1">
      <protection hidden="1"/>
    </xf>
    <xf numFmtId="0" fontId="96" fillId="0" borderId="0" xfId="0" applyFont="1" applyProtection="1">
      <protection hidden="1"/>
    </xf>
    <xf numFmtId="0" fontId="11" fillId="25" borderId="0" xfId="0" applyFont="1" applyFill="1" applyProtection="1">
      <protection hidden="1"/>
    </xf>
    <xf numFmtId="0" fontId="11" fillId="25" borderId="0" xfId="0" applyFont="1" applyFill="1"/>
    <xf numFmtId="0" fontId="22" fillId="25" borderId="0" xfId="0" applyFont="1" applyFill="1" applyAlignment="1" applyProtection="1">
      <alignment shrinkToFit="1"/>
      <protection hidden="1"/>
    </xf>
    <xf numFmtId="0" fontId="17" fillId="25" borderId="0" xfId="0" applyFont="1" applyFill="1" applyAlignment="1" applyProtection="1">
      <alignment vertical="center"/>
      <protection hidden="1"/>
    </xf>
    <xf numFmtId="0" fontId="18" fillId="25" borderId="0" xfId="0" applyFont="1" applyFill="1" applyAlignment="1" applyProtection="1">
      <alignment vertical="center"/>
      <protection hidden="1"/>
    </xf>
    <xf numFmtId="0" fontId="23" fillId="25" borderId="0" xfId="0" applyFont="1" applyFill="1" applyProtection="1">
      <protection hidden="1"/>
    </xf>
    <xf numFmtId="0" fontId="19" fillId="25" borderId="0" xfId="0" applyFont="1" applyFill="1" applyAlignment="1" applyProtection="1">
      <alignment vertical="center"/>
      <protection hidden="1"/>
    </xf>
    <xf numFmtId="0" fontId="19" fillId="25" borderId="0" xfId="0" applyFont="1" applyFill="1" applyAlignment="1" applyProtection="1">
      <alignment vertical="center" shrinkToFit="1"/>
      <protection hidden="1"/>
    </xf>
    <xf numFmtId="0" fontId="19" fillId="25" borderId="0" xfId="0" applyFont="1" applyFill="1" applyAlignment="1" applyProtection="1">
      <alignment horizontal="center" vertical="center"/>
      <protection hidden="1"/>
    </xf>
    <xf numFmtId="0" fontId="14" fillId="25" borderId="0" xfId="0" applyFont="1" applyFill="1" applyAlignment="1" applyProtection="1">
      <alignment vertical="center"/>
      <protection hidden="1"/>
    </xf>
    <xf numFmtId="0" fontId="24" fillId="26" borderId="3" xfId="0" applyFont="1" applyFill="1" applyBorder="1" applyAlignment="1" applyProtection="1">
      <alignment horizontal="center" vertical="center"/>
      <protection hidden="1"/>
    </xf>
    <xf numFmtId="0" fontId="62" fillId="4" borderId="23" xfId="0" applyFont="1" applyFill="1" applyBorder="1" applyAlignment="1" applyProtection="1">
      <alignment horizontal="center" vertical="center"/>
      <protection locked="0" hidden="1"/>
    </xf>
    <xf numFmtId="0" fontId="70" fillId="0" borderId="0" xfId="0" applyFont="1" applyAlignment="1" applyProtection="1">
      <alignment horizontal="center" vertical="center"/>
      <protection hidden="1"/>
    </xf>
    <xf numFmtId="0" fontId="70" fillId="0" borderId="27" xfId="0" applyFont="1" applyBorder="1" applyAlignment="1" applyProtection="1">
      <alignment horizontal="center" vertical="center"/>
      <protection hidden="1"/>
    </xf>
    <xf numFmtId="0" fontId="70" fillId="0" borderId="156" xfId="0" applyFont="1" applyBorder="1" applyAlignment="1" applyProtection="1">
      <alignment horizontal="center" vertical="center"/>
      <protection hidden="1"/>
    </xf>
    <xf numFmtId="0" fontId="54" fillId="11" borderId="80" xfId="1" applyFont="1" applyFill="1" applyBorder="1" applyAlignment="1">
      <alignment horizontal="right"/>
    </xf>
    <xf numFmtId="0" fontId="54" fillId="11" borderId="40" xfId="1" applyFont="1" applyFill="1" applyBorder="1" applyAlignment="1">
      <alignment horizontal="right"/>
    </xf>
    <xf numFmtId="0" fontId="54" fillId="11" borderId="81" xfId="1" applyFont="1" applyFill="1" applyBorder="1" applyAlignment="1">
      <alignment horizontal="right"/>
    </xf>
    <xf numFmtId="0" fontId="55" fillId="11" borderId="82" xfId="0" applyFont="1" applyFill="1" applyBorder="1" applyAlignment="1">
      <alignment horizontal="right" vertical="center"/>
    </xf>
    <xf numFmtId="0" fontId="55" fillId="11" borderId="83" xfId="0" applyFont="1" applyFill="1" applyBorder="1" applyAlignment="1">
      <alignment horizontal="right" vertical="center"/>
    </xf>
    <xf numFmtId="0" fontId="55" fillId="11" borderId="84" xfId="0" applyFont="1" applyFill="1" applyBorder="1" applyAlignment="1">
      <alignment horizontal="right" vertical="center"/>
    </xf>
    <xf numFmtId="9" fontId="55" fillId="11" borderId="77" xfId="1" applyNumberFormat="1" applyFont="1" applyFill="1" applyBorder="1" applyAlignment="1">
      <alignment horizontal="right" vertical="center"/>
    </xf>
    <xf numFmtId="0" fontId="55" fillId="11" borderId="85" xfId="1" applyFont="1" applyFill="1" applyBorder="1" applyAlignment="1">
      <alignment horizontal="right" vertical="center"/>
    </xf>
    <xf numFmtId="0" fontId="49" fillId="0" borderId="0" xfId="0" applyFont="1" applyAlignment="1">
      <alignment horizontal="center"/>
    </xf>
    <xf numFmtId="0" fontId="50" fillId="0" borderId="8" xfId="0" applyFont="1" applyBorder="1" applyAlignment="1">
      <alignment horizontal="right"/>
    </xf>
    <xf numFmtId="0" fontId="52" fillId="11" borderId="69" xfId="0" applyFont="1" applyFill="1" applyBorder="1" applyAlignment="1">
      <alignment horizontal="center" vertical="center"/>
    </xf>
    <xf numFmtId="0" fontId="53" fillId="11" borderId="70" xfId="0" applyFont="1" applyFill="1" applyBorder="1" applyAlignment="1">
      <alignment horizontal="center" vertical="center"/>
    </xf>
    <xf numFmtId="0" fontId="53" fillId="11" borderId="76" xfId="0" applyFont="1" applyFill="1" applyBorder="1" applyAlignment="1">
      <alignment horizontal="center" vertical="center"/>
    </xf>
    <xf numFmtId="0" fontId="53" fillId="11" borderId="77" xfId="0" applyFont="1" applyFill="1" applyBorder="1" applyAlignment="1">
      <alignment horizontal="center" vertical="center"/>
    </xf>
    <xf numFmtId="0" fontId="53" fillId="11" borderId="71" xfId="0" applyFont="1" applyFill="1" applyBorder="1" applyAlignment="1">
      <alignment horizontal="center" vertical="center"/>
    </xf>
    <xf numFmtId="0" fontId="53" fillId="11" borderId="72" xfId="0" applyFont="1" applyFill="1" applyBorder="1" applyAlignment="1">
      <alignment horizontal="center" vertical="center"/>
    </xf>
    <xf numFmtId="0" fontId="53" fillId="11" borderId="78" xfId="0" applyFont="1" applyFill="1" applyBorder="1" applyAlignment="1">
      <alignment horizontal="center" vertical="center"/>
    </xf>
    <xf numFmtId="0" fontId="53" fillId="11" borderId="79" xfId="0" applyFont="1" applyFill="1" applyBorder="1" applyAlignment="1">
      <alignment horizontal="center" vertical="center"/>
    </xf>
    <xf numFmtId="0" fontId="54" fillId="11" borderId="73" xfId="1" applyFont="1" applyFill="1" applyBorder="1" applyAlignment="1">
      <alignment horizontal="right"/>
    </xf>
    <xf numFmtId="0" fontId="54" fillId="11" borderId="74" xfId="1" applyFont="1" applyFill="1" applyBorder="1" applyAlignment="1">
      <alignment horizontal="right"/>
    </xf>
    <xf numFmtId="0" fontId="54" fillId="11" borderId="75" xfId="1" applyFont="1" applyFill="1" applyBorder="1" applyAlignment="1">
      <alignment horizontal="right"/>
    </xf>
    <xf numFmtId="0" fontId="55" fillId="11" borderId="80" xfId="0" applyFont="1" applyFill="1" applyBorder="1" applyAlignment="1">
      <alignment horizontal="center"/>
    </xf>
    <xf numFmtId="0" fontId="55" fillId="11" borderId="40" xfId="0" applyFont="1" applyFill="1" applyBorder="1" applyAlignment="1">
      <alignment horizontal="center"/>
    </xf>
    <xf numFmtId="0" fontId="55" fillId="11" borderId="76" xfId="0" applyFont="1" applyFill="1" applyBorder="1" applyAlignment="1">
      <alignment horizontal="right" vertical="center"/>
    </xf>
    <xf numFmtId="0" fontId="55" fillId="11" borderId="77" xfId="0" applyFont="1" applyFill="1" applyBorder="1" applyAlignment="1">
      <alignment horizontal="right" vertical="center"/>
    </xf>
    <xf numFmtId="0" fontId="55" fillId="11" borderId="80" xfId="0" applyFont="1" applyFill="1" applyBorder="1" applyAlignment="1">
      <alignment horizontal="right"/>
    </xf>
    <xf numFmtId="0" fontId="55" fillId="11" borderId="40" xfId="0" applyFont="1" applyFill="1" applyBorder="1" applyAlignment="1">
      <alignment horizontal="right"/>
    </xf>
    <xf numFmtId="0" fontId="55" fillId="11" borderId="81" xfId="0" applyFont="1" applyFill="1" applyBorder="1" applyAlignment="1">
      <alignment horizontal="right"/>
    </xf>
    <xf numFmtId="0" fontId="56" fillId="11" borderId="77" xfId="0" applyFont="1" applyFill="1" applyBorder="1" applyAlignment="1">
      <alignment horizontal="right" vertical="center"/>
    </xf>
    <xf numFmtId="0" fontId="56" fillId="11" borderId="85" xfId="0" applyFont="1" applyFill="1" applyBorder="1" applyAlignment="1">
      <alignment horizontal="right" vertical="center"/>
    </xf>
    <xf numFmtId="0" fontId="57" fillId="11" borderId="40" xfId="1" applyFont="1" applyFill="1" applyBorder="1" applyAlignment="1">
      <alignment horizontal="center"/>
    </xf>
    <xf numFmtId="0" fontId="57" fillId="11" borderId="81" xfId="1" applyFont="1" applyFill="1" applyBorder="1" applyAlignment="1">
      <alignment horizontal="center"/>
    </xf>
    <xf numFmtId="0" fontId="55" fillId="11" borderId="82" xfId="0" applyFont="1" applyFill="1" applyBorder="1" applyAlignment="1">
      <alignment horizontal="right"/>
    </xf>
    <xf numFmtId="0" fontId="55" fillId="11" borderId="83" xfId="0" applyFont="1" applyFill="1" applyBorder="1" applyAlignment="1">
      <alignment horizontal="right"/>
    </xf>
    <xf numFmtId="0" fontId="55" fillId="11" borderId="84" xfId="0" applyFont="1" applyFill="1" applyBorder="1" applyAlignment="1">
      <alignment horizontal="right"/>
    </xf>
    <xf numFmtId="9" fontId="55" fillId="11" borderId="77" xfId="0" applyNumberFormat="1" applyFont="1" applyFill="1" applyBorder="1" applyAlignment="1">
      <alignment horizontal="right" vertical="center"/>
    </xf>
    <xf numFmtId="0" fontId="55" fillId="11" borderId="85" xfId="0" applyFont="1" applyFill="1" applyBorder="1" applyAlignment="1">
      <alignment horizontal="right" vertical="center"/>
    </xf>
    <xf numFmtId="0" fontId="55" fillId="11" borderId="58" xfId="0" applyFont="1" applyFill="1" applyBorder="1" applyAlignment="1">
      <alignment horizontal="center" vertical="center" wrapText="1"/>
    </xf>
    <xf numFmtId="0" fontId="55" fillId="11" borderId="0" xfId="0" applyFont="1" applyFill="1" applyAlignment="1">
      <alignment horizontal="center" vertical="center" wrapText="1"/>
    </xf>
    <xf numFmtId="0" fontId="55" fillId="11" borderId="57" xfId="0" applyFont="1" applyFill="1" applyBorder="1" applyAlignment="1">
      <alignment horizontal="center" vertical="center" wrapText="1"/>
    </xf>
    <xf numFmtId="0" fontId="55" fillId="11" borderId="76" xfId="0" applyFont="1" applyFill="1" applyBorder="1" applyAlignment="1">
      <alignment horizontal="right" vertical="center" wrapText="1"/>
    </xf>
    <xf numFmtId="0" fontId="55" fillId="11" borderId="77" xfId="0" applyFont="1" applyFill="1" applyBorder="1" applyAlignment="1">
      <alignment horizontal="right" vertical="center" wrapText="1"/>
    </xf>
    <xf numFmtId="9" fontId="55" fillId="11" borderId="77" xfId="0" applyNumberFormat="1" applyFont="1" applyFill="1" applyBorder="1" applyAlignment="1">
      <alignment horizontal="right"/>
    </xf>
    <xf numFmtId="0" fontId="55" fillId="11" borderId="85" xfId="0" applyFont="1" applyFill="1" applyBorder="1" applyAlignment="1">
      <alignment horizontal="right"/>
    </xf>
    <xf numFmtId="0" fontId="55" fillId="11" borderId="77" xfId="0" applyFont="1" applyFill="1" applyBorder="1" applyAlignment="1">
      <alignment horizontal="right"/>
    </xf>
    <xf numFmtId="9" fontId="55" fillId="11" borderId="77" xfId="0" applyNumberFormat="1" applyFont="1" applyFill="1" applyBorder="1" applyAlignment="1">
      <alignment horizontal="right" vertical="center" wrapText="1"/>
    </xf>
    <xf numFmtId="0" fontId="55" fillId="11" borderId="85" xfId="0" applyFont="1" applyFill="1" applyBorder="1" applyAlignment="1">
      <alignment horizontal="right" vertical="center" wrapText="1"/>
    </xf>
    <xf numFmtId="0" fontId="55" fillId="11" borderId="82" xfId="0" applyFont="1" applyFill="1" applyBorder="1" applyAlignment="1">
      <alignment horizontal="right" wrapText="1"/>
    </xf>
    <xf numFmtId="0" fontId="55" fillId="11" borderId="83" xfId="0" applyFont="1" applyFill="1" applyBorder="1" applyAlignment="1">
      <alignment horizontal="right" wrapText="1"/>
    </xf>
    <xf numFmtId="0" fontId="55" fillId="11" borderId="84" xfId="0" applyFont="1" applyFill="1" applyBorder="1" applyAlignment="1">
      <alignment horizontal="right" wrapText="1"/>
    </xf>
    <xf numFmtId="0" fontId="55" fillId="11" borderId="86" xfId="0" applyFont="1" applyFill="1" applyBorder="1" applyAlignment="1">
      <alignment horizontal="right" vertical="center"/>
    </xf>
    <xf numFmtId="0" fontId="55" fillId="11" borderId="87" xfId="0" applyFont="1" applyFill="1" applyBorder="1" applyAlignment="1">
      <alignment horizontal="right" vertical="center"/>
    </xf>
    <xf numFmtId="0" fontId="55" fillId="11" borderId="88" xfId="0" applyFont="1" applyFill="1" applyBorder="1" applyAlignment="1">
      <alignment horizontal="right" vertical="center"/>
    </xf>
    <xf numFmtId="9" fontId="55" fillId="11" borderId="89" xfId="0" applyNumberFormat="1" applyFont="1" applyFill="1" applyBorder="1" applyAlignment="1">
      <alignment horizontal="right" vertical="center"/>
    </xf>
    <xf numFmtId="0" fontId="55" fillId="11" borderId="90" xfId="0" applyFont="1" applyFill="1" applyBorder="1" applyAlignment="1">
      <alignment horizontal="right" vertical="center"/>
    </xf>
    <xf numFmtId="0" fontId="55" fillId="11" borderId="80" xfId="0" applyFont="1" applyFill="1" applyBorder="1" applyAlignment="1">
      <alignment horizontal="right" wrapText="1"/>
    </xf>
    <xf numFmtId="0" fontId="55" fillId="11" borderId="40" xfId="0" applyFont="1" applyFill="1" applyBorder="1" applyAlignment="1">
      <alignment horizontal="right" wrapText="1"/>
    </xf>
    <xf numFmtId="0" fontId="55" fillId="11" borderId="81" xfId="0" applyFont="1" applyFill="1" applyBorder="1" applyAlignment="1">
      <alignment horizontal="right" wrapText="1"/>
    </xf>
    <xf numFmtId="0" fontId="59" fillId="0" borderId="0" xfId="0" applyFont="1" applyAlignment="1">
      <alignment horizontal="center" vertical="center" wrapText="1"/>
    </xf>
    <xf numFmtId="0" fontId="59" fillId="0" borderId="0" xfId="0" applyFont="1" applyAlignment="1">
      <alignment horizontal="center" vertical="center"/>
    </xf>
    <xf numFmtId="0" fontId="55" fillId="11" borderId="58" xfId="0" applyFont="1" applyFill="1" applyBorder="1" applyAlignment="1">
      <alignment horizontal="right" wrapText="1"/>
    </xf>
    <xf numFmtId="0" fontId="55" fillId="11" borderId="0" xfId="0" applyFont="1" applyFill="1" applyAlignment="1">
      <alignment horizontal="right" wrapText="1"/>
    </xf>
    <xf numFmtId="0" fontId="55" fillId="11" borderId="8" xfId="0" applyFont="1" applyFill="1" applyBorder="1" applyAlignment="1">
      <alignment horizontal="right" wrapText="1"/>
    </xf>
    <xf numFmtId="0" fontId="50" fillId="0" borderId="0" xfId="0" applyFont="1" applyAlignment="1">
      <alignment horizontal="right" vertical="center" wrapText="1"/>
    </xf>
    <xf numFmtId="0" fontId="50" fillId="0" borderId="0" xfId="0" applyFont="1" applyAlignment="1">
      <alignment horizontal="center"/>
    </xf>
    <xf numFmtId="0" fontId="92" fillId="0" borderId="0" xfId="0" applyFont="1" applyAlignment="1" applyProtection="1">
      <alignment horizontal="center" vertical="center"/>
      <protection hidden="1"/>
    </xf>
    <xf numFmtId="0" fontId="92" fillId="0" borderId="60" xfId="0" applyFont="1" applyBorder="1" applyAlignment="1" applyProtection="1">
      <alignment horizontal="center" vertical="center"/>
      <protection hidden="1"/>
    </xf>
    <xf numFmtId="0" fontId="0" fillId="0" borderId="0" xfId="0" applyAlignment="1" applyProtection="1">
      <alignment horizontal="center"/>
      <protection hidden="1"/>
    </xf>
    <xf numFmtId="0" fontId="69" fillId="22" borderId="0" xfId="0" applyFont="1" applyFill="1" applyAlignment="1" applyProtection="1">
      <alignment horizontal="right" vertical="center"/>
      <protection hidden="1"/>
    </xf>
    <xf numFmtId="0" fontId="87" fillId="0" borderId="0" xfId="0" applyFont="1" applyAlignment="1" applyProtection="1">
      <alignment horizontal="right" vertical="center" wrapText="1"/>
      <protection hidden="1"/>
    </xf>
    <xf numFmtId="0" fontId="61" fillId="0" borderId="93" xfId="0" applyFont="1" applyBorder="1" applyAlignment="1" applyProtection="1">
      <alignment horizontal="center"/>
      <protection hidden="1"/>
    </xf>
    <xf numFmtId="0" fontId="64" fillId="10" borderId="98" xfId="0" applyFont="1" applyFill="1" applyBorder="1" applyAlignment="1" applyProtection="1">
      <alignment horizontal="center" vertical="center" wrapText="1"/>
      <protection hidden="1"/>
    </xf>
    <xf numFmtId="0" fontId="64" fillId="10" borderId="98" xfId="0" applyFont="1" applyFill="1" applyBorder="1" applyAlignment="1" applyProtection="1">
      <alignment horizontal="center" vertical="center"/>
      <protection hidden="1"/>
    </xf>
    <xf numFmtId="0" fontId="64" fillId="20" borderId="102" xfId="0" applyFont="1" applyFill="1" applyBorder="1" applyAlignment="1" applyProtection="1">
      <alignment horizontal="center" vertical="center"/>
      <protection hidden="1"/>
    </xf>
    <xf numFmtId="0" fontId="64" fillId="20" borderId="0" xfId="0" applyFont="1" applyFill="1" applyAlignment="1" applyProtection="1">
      <alignment horizontal="center" vertical="center"/>
      <protection hidden="1"/>
    </xf>
    <xf numFmtId="0" fontId="5" fillId="3" borderId="15" xfId="0" applyFont="1" applyFill="1" applyBorder="1" applyAlignment="1" applyProtection="1">
      <alignment horizontal="center" vertical="center" shrinkToFit="1"/>
      <protection hidden="1"/>
    </xf>
    <xf numFmtId="165" fontId="26" fillId="12" borderId="93" xfId="0" applyNumberFormat="1" applyFont="1" applyFill="1" applyBorder="1" applyAlignment="1" applyProtection="1">
      <alignment horizontal="center" vertical="center" shrinkToFit="1"/>
      <protection hidden="1"/>
    </xf>
    <xf numFmtId="0" fontId="21" fillId="6" borderId="0" xfId="0" applyFont="1" applyFill="1" applyAlignment="1" applyProtection="1">
      <alignment horizontal="center"/>
      <protection hidden="1"/>
    </xf>
    <xf numFmtId="0" fontId="28" fillId="11" borderId="0" xfId="0" applyFont="1" applyFill="1" applyAlignment="1" applyProtection="1">
      <alignment horizontal="center" vertical="center"/>
      <protection hidden="1"/>
    </xf>
    <xf numFmtId="0" fontId="56" fillId="20" borderId="101" xfId="0" applyFont="1" applyFill="1" applyBorder="1" applyAlignment="1" applyProtection="1">
      <alignment horizontal="center" vertical="center"/>
      <protection hidden="1"/>
    </xf>
    <xf numFmtId="0" fontId="64" fillId="20" borderId="101" xfId="0" applyFont="1" applyFill="1" applyBorder="1" applyAlignment="1" applyProtection="1">
      <alignment horizontal="center" vertical="center"/>
      <protection hidden="1"/>
    </xf>
    <xf numFmtId="0" fontId="39" fillId="16" borderId="99" xfId="0" applyFont="1" applyFill="1" applyBorder="1" applyAlignment="1" applyProtection="1">
      <alignment horizontal="center" vertical="center"/>
      <protection hidden="1"/>
    </xf>
    <xf numFmtId="0" fontId="39" fillId="16" borderId="93" xfId="0" applyFont="1" applyFill="1" applyBorder="1" applyAlignment="1" applyProtection="1">
      <alignment horizontal="center" vertical="center"/>
      <protection hidden="1"/>
    </xf>
    <xf numFmtId="0" fontId="39" fillId="16" borderId="100" xfId="0" applyFont="1" applyFill="1" applyBorder="1" applyAlignment="1" applyProtection="1">
      <alignment horizontal="center" vertical="center"/>
      <protection hidden="1"/>
    </xf>
    <xf numFmtId="165" fontId="26" fillId="12" borderId="99" xfId="0" applyNumberFormat="1" applyFont="1" applyFill="1" applyBorder="1" applyAlignment="1" applyProtection="1">
      <alignment horizontal="center" vertical="center" shrinkToFit="1"/>
      <protection hidden="1"/>
    </xf>
    <xf numFmtId="165" fontId="26" fillId="12" borderId="100" xfId="0" applyNumberFormat="1" applyFont="1" applyFill="1" applyBorder="1" applyAlignment="1" applyProtection="1">
      <alignment horizontal="center" vertical="center" shrinkToFit="1"/>
      <protection hidden="1"/>
    </xf>
    <xf numFmtId="0" fontId="64" fillId="20" borderId="98" xfId="0" applyFont="1" applyFill="1" applyBorder="1" applyAlignment="1" applyProtection="1">
      <alignment horizontal="center" vertical="center"/>
      <protection hidden="1"/>
    </xf>
    <xf numFmtId="0" fontId="38" fillId="0" borderId="94" xfId="0" applyFont="1" applyBorder="1" applyAlignment="1" applyProtection="1">
      <alignment horizontal="center" vertical="center"/>
      <protection hidden="1"/>
    </xf>
    <xf numFmtId="0" fontId="38" fillId="0" borderId="93" xfId="0" applyFont="1" applyBorder="1" applyAlignment="1" applyProtection="1">
      <alignment horizontal="center" vertical="center"/>
      <protection hidden="1"/>
    </xf>
    <xf numFmtId="0" fontId="9" fillId="0" borderId="93" xfId="0" applyFont="1" applyBorder="1" applyAlignment="1" applyProtection="1">
      <alignment horizontal="center" vertical="center"/>
      <protection hidden="1"/>
    </xf>
    <xf numFmtId="0" fontId="26" fillId="12" borderId="99" xfId="0" applyFont="1" applyFill="1" applyBorder="1" applyAlignment="1" applyProtection="1">
      <alignment horizontal="center" vertical="center"/>
      <protection locked="0" hidden="1"/>
    </xf>
    <xf numFmtId="0" fontId="26" fillId="12" borderId="93" xfId="0" applyFont="1" applyFill="1" applyBorder="1" applyAlignment="1" applyProtection="1">
      <alignment horizontal="center" vertical="center"/>
      <protection locked="0" hidden="1"/>
    </xf>
    <xf numFmtId="0" fontId="26" fillId="12" borderId="100" xfId="0" applyFont="1" applyFill="1" applyBorder="1" applyAlignment="1" applyProtection="1">
      <alignment horizontal="center" vertical="center"/>
      <protection locked="0" hidden="1"/>
    </xf>
    <xf numFmtId="0" fontId="36" fillId="10" borderId="17" xfId="1" applyFont="1" applyFill="1" applyBorder="1" applyAlignment="1" applyProtection="1">
      <alignment horizontal="center" vertical="center"/>
    </xf>
    <xf numFmtId="0" fontId="36" fillId="10" borderId="0" xfId="1" applyFont="1" applyFill="1" applyBorder="1" applyAlignment="1" applyProtection="1">
      <alignment horizontal="center" vertical="center"/>
    </xf>
    <xf numFmtId="0" fontId="36" fillId="10" borderId="17" xfId="1" applyFont="1" applyFill="1" applyBorder="1" applyAlignment="1" applyProtection="1">
      <alignment horizontal="center" vertical="center" wrapText="1"/>
    </xf>
    <xf numFmtId="0" fontId="36" fillId="10" borderId="0" xfId="1" applyFont="1" applyFill="1" applyBorder="1" applyAlignment="1" applyProtection="1">
      <alignment horizontal="center" vertical="center" wrapText="1"/>
    </xf>
    <xf numFmtId="0" fontId="5" fillId="3" borderId="24" xfId="0" applyFont="1" applyFill="1" applyBorder="1" applyAlignment="1" applyProtection="1">
      <alignment horizontal="center" vertical="center" shrinkToFit="1"/>
      <protection hidden="1"/>
    </xf>
    <xf numFmtId="0" fontId="5" fillId="3" borderId="12" xfId="0" applyFont="1" applyFill="1" applyBorder="1" applyAlignment="1" applyProtection="1">
      <alignment horizontal="center" vertical="center" shrinkToFit="1"/>
      <protection hidden="1"/>
    </xf>
    <xf numFmtId="0" fontId="5" fillId="3" borderId="66" xfId="0" applyFont="1" applyFill="1" applyBorder="1" applyAlignment="1" applyProtection="1">
      <alignment horizontal="center" vertical="center" shrinkToFit="1"/>
      <protection hidden="1"/>
    </xf>
    <xf numFmtId="0" fontId="5" fillId="3" borderId="67" xfId="0" applyFont="1" applyFill="1" applyBorder="1" applyAlignment="1" applyProtection="1">
      <alignment horizontal="center" vertical="center" shrinkToFit="1"/>
      <protection hidden="1"/>
    </xf>
    <xf numFmtId="0" fontId="5" fillId="3" borderId="22" xfId="0" applyFont="1" applyFill="1" applyBorder="1" applyAlignment="1" applyProtection="1">
      <alignment horizontal="center" vertical="center" shrinkToFit="1"/>
      <protection hidden="1"/>
    </xf>
    <xf numFmtId="0" fontId="5" fillId="3" borderId="68" xfId="0" applyFont="1" applyFill="1" applyBorder="1" applyAlignment="1" applyProtection="1">
      <alignment horizontal="center" vertical="center" shrinkToFit="1"/>
      <protection hidden="1"/>
    </xf>
    <xf numFmtId="0" fontId="28" fillId="10" borderId="54" xfId="0" applyFont="1" applyFill="1" applyBorder="1" applyAlignment="1">
      <alignment horizontal="center" vertical="center"/>
    </xf>
    <xf numFmtId="0" fontId="28" fillId="10" borderId="6" xfId="0" applyFont="1" applyFill="1" applyBorder="1" applyAlignment="1">
      <alignment horizontal="center" vertical="center"/>
    </xf>
    <xf numFmtId="0" fontId="34" fillId="10" borderId="0" xfId="1" applyFont="1" applyFill="1" applyBorder="1" applyAlignment="1" applyProtection="1">
      <alignment horizontal="center" vertical="center" wrapText="1"/>
    </xf>
    <xf numFmtId="0" fontId="5" fillId="3" borderId="23" xfId="0" applyFont="1" applyFill="1" applyBorder="1" applyAlignment="1" applyProtection="1">
      <alignment horizontal="center" vertical="center" shrinkToFit="1"/>
      <protection hidden="1"/>
    </xf>
    <xf numFmtId="0" fontId="45" fillId="3" borderId="67" xfId="0" applyFont="1" applyFill="1" applyBorder="1" applyAlignment="1" applyProtection="1">
      <alignment horizontal="center" vertical="center" shrinkToFit="1"/>
      <protection hidden="1"/>
    </xf>
    <xf numFmtId="0" fontId="45" fillId="3" borderId="22" xfId="0" applyFont="1" applyFill="1" applyBorder="1" applyAlignment="1" applyProtection="1">
      <alignment horizontal="center" vertical="center" shrinkToFit="1"/>
      <protection hidden="1"/>
    </xf>
    <xf numFmtId="0" fontId="45" fillId="3" borderId="68" xfId="0" applyFont="1" applyFill="1" applyBorder="1" applyAlignment="1" applyProtection="1">
      <alignment horizontal="center" vertical="center" shrinkToFit="1"/>
      <protection hidden="1"/>
    </xf>
    <xf numFmtId="0" fontId="5" fillId="3" borderId="25" xfId="0" applyFont="1" applyFill="1" applyBorder="1" applyAlignment="1" applyProtection="1">
      <alignment horizontal="center" vertical="center" shrinkToFit="1"/>
      <protection hidden="1"/>
    </xf>
    <xf numFmtId="0" fontId="5" fillId="3" borderId="14" xfId="0" applyFont="1" applyFill="1" applyBorder="1" applyAlignment="1" applyProtection="1">
      <alignment horizontal="center" vertical="center" shrinkToFit="1"/>
      <protection hidden="1"/>
    </xf>
    <xf numFmtId="0" fontId="5" fillId="3" borderId="26" xfId="0" applyFont="1" applyFill="1" applyBorder="1" applyAlignment="1" applyProtection="1">
      <alignment horizontal="center" vertical="center" shrinkToFit="1"/>
      <protection hidden="1"/>
    </xf>
    <xf numFmtId="0" fontId="5" fillId="3" borderId="9" xfId="0" applyFont="1" applyFill="1" applyBorder="1" applyAlignment="1" applyProtection="1">
      <alignment horizontal="center" vertical="center" shrinkToFit="1"/>
      <protection hidden="1"/>
    </xf>
    <xf numFmtId="0" fontId="67" fillId="3" borderId="93" xfId="0" applyFont="1" applyFill="1" applyBorder="1" applyAlignment="1" applyProtection="1">
      <alignment horizontal="right" vertical="center" shrinkToFit="1"/>
      <protection hidden="1"/>
    </xf>
    <xf numFmtId="0" fontId="44" fillId="21" borderId="99" xfId="0" applyFont="1" applyFill="1" applyBorder="1" applyAlignment="1" applyProtection="1">
      <alignment horizontal="center" vertical="center"/>
      <protection hidden="1"/>
    </xf>
    <xf numFmtId="0" fontId="44" fillId="21" borderId="93" xfId="0" applyFont="1" applyFill="1" applyBorder="1" applyAlignment="1" applyProtection="1">
      <alignment horizontal="center" vertical="center"/>
      <protection hidden="1"/>
    </xf>
    <xf numFmtId="0" fontId="44" fillId="21" borderId="100" xfId="0" applyFont="1" applyFill="1" applyBorder="1" applyAlignment="1" applyProtection="1">
      <alignment horizontal="center" vertical="center"/>
      <protection hidden="1"/>
    </xf>
    <xf numFmtId="0" fontId="63" fillId="0" borderId="93" xfId="0" applyFont="1" applyBorder="1" applyAlignment="1" applyProtection="1">
      <alignment horizontal="center" vertical="center"/>
      <protection hidden="1"/>
    </xf>
    <xf numFmtId="0" fontId="40" fillId="0" borderId="93" xfId="0" applyFont="1" applyBorder="1" applyAlignment="1" applyProtection="1">
      <alignment horizontal="center" vertical="center"/>
      <protection hidden="1"/>
    </xf>
    <xf numFmtId="165" fontId="25" fillId="12" borderId="99" xfId="0" applyNumberFormat="1" applyFont="1" applyFill="1" applyBorder="1" applyAlignment="1" applyProtection="1">
      <alignment horizontal="center" vertical="center" shrinkToFit="1"/>
      <protection hidden="1"/>
    </xf>
    <xf numFmtId="165" fontId="25" fillId="12" borderId="93" xfId="0" applyNumberFormat="1" applyFont="1" applyFill="1" applyBorder="1" applyAlignment="1" applyProtection="1">
      <alignment horizontal="center" vertical="center" shrinkToFit="1"/>
      <protection hidden="1"/>
    </xf>
    <xf numFmtId="165" fontId="25" fillId="12" borderId="100" xfId="0" applyNumberFormat="1" applyFont="1" applyFill="1" applyBorder="1" applyAlignment="1" applyProtection="1">
      <alignment horizontal="center" vertical="center" shrinkToFit="1"/>
      <protection hidden="1"/>
    </xf>
    <xf numFmtId="0" fontId="28" fillId="10" borderId="6" xfId="0" applyFont="1" applyFill="1" applyBorder="1" applyAlignment="1">
      <alignment horizontal="center" vertical="center" wrapText="1"/>
    </xf>
    <xf numFmtId="0" fontId="28" fillId="10" borderId="8" xfId="0" applyFont="1" applyFill="1" applyBorder="1" applyAlignment="1">
      <alignment horizontal="center" vertical="center" wrapText="1"/>
    </xf>
    <xf numFmtId="0" fontId="28" fillId="10" borderId="28"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21" xfId="0" applyFont="1" applyFill="1" applyBorder="1" applyAlignment="1">
      <alignment horizontal="center" vertical="center"/>
    </xf>
    <xf numFmtId="0" fontId="67" fillId="3" borderId="93" xfId="1" applyFont="1" applyFill="1" applyBorder="1" applyAlignment="1" applyProtection="1">
      <alignment horizontal="center" vertical="center" shrinkToFit="1"/>
      <protection locked="0" hidden="1"/>
    </xf>
    <xf numFmtId="0" fontId="79" fillId="23" borderId="93" xfId="0" applyFont="1" applyFill="1" applyBorder="1" applyAlignment="1" applyProtection="1">
      <alignment horizontal="center" vertical="center" shrinkToFit="1"/>
      <protection hidden="1"/>
    </xf>
    <xf numFmtId="0" fontId="67" fillId="3" borderId="93" xfId="1" applyFont="1" applyFill="1" applyBorder="1" applyAlignment="1" applyProtection="1">
      <alignment horizontal="center" vertical="center" shrinkToFit="1"/>
      <protection hidden="1"/>
    </xf>
    <xf numFmtId="0" fontId="33" fillId="5" borderId="21" xfId="0" applyFont="1" applyFill="1" applyBorder="1" applyAlignment="1">
      <alignment horizontal="center" vertical="center"/>
    </xf>
    <xf numFmtId="0" fontId="33" fillId="5" borderId="6" xfId="0" applyFont="1" applyFill="1" applyBorder="1" applyAlignment="1">
      <alignment horizontal="center" vertical="center"/>
    </xf>
    <xf numFmtId="0" fontId="33" fillId="5" borderId="27" xfId="0" applyFont="1" applyFill="1" applyBorder="1" applyAlignment="1">
      <alignment horizontal="center" vertical="center"/>
    </xf>
    <xf numFmtId="0" fontId="28" fillId="10" borderId="7" xfId="0" applyFont="1" applyFill="1" applyBorder="1" applyAlignment="1">
      <alignment horizontal="center" vertical="center"/>
    </xf>
    <xf numFmtId="0" fontId="28" fillId="10" borderId="8" xfId="0" applyFont="1" applyFill="1" applyBorder="1" applyAlignment="1">
      <alignment horizontal="center" vertical="center"/>
    </xf>
    <xf numFmtId="0" fontId="28" fillId="10" borderId="27" xfId="0" applyFont="1" applyFill="1" applyBorder="1" applyAlignment="1">
      <alignment horizontal="center" vertical="center"/>
    </xf>
    <xf numFmtId="1" fontId="67" fillId="3" borderId="93" xfId="1" applyNumberFormat="1" applyFont="1" applyFill="1" applyBorder="1" applyAlignment="1" applyProtection="1">
      <alignment horizontal="center" vertical="center" shrinkToFit="1"/>
      <protection hidden="1"/>
    </xf>
    <xf numFmtId="0" fontId="79" fillId="24" borderId="93" xfId="0" applyFont="1" applyFill="1" applyBorder="1" applyAlignment="1" applyProtection="1">
      <alignment horizontal="center" vertical="center" shrinkToFit="1"/>
      <protection hidden="1"/>
    </xf>
    <xf numFmtId="49" fontId="67" fillId="3" borderId="93" xfId="1" applyNumberFormat="1" applyFont="1" applyFill="1" applyBorder="1" applyAlignment="1" applyProtection="1">
      <alignment horizontal="center" vertical="center" shrinkToFit="1"/>
      <protection hidden="1"/>
    </xf>
    <xf numFmtId="0" fontId="67" fillId="3" borderId="93" xfId="0" applyFont="1" applyFill="1" applyBorder="1" applyAlignment="1" applyProtection="1">
      <alignment horizontal="center" vertical="center" shrinkToFit="1"/>
      <protection hidden="1"/>
    </xf>
    <xf numFmtId="0" fontId="79" fillId="11" borderId="93" xfId="0" applyFont="1" applyFill="1" applyBorder="1" applyAlignment="1" applyProtection="1">
      <alignment horizontal="center" vertical="center" shrinkToFit="1"/>
      <protection hidden="1"/>
    </xf>
    <xf numFmtId="0" fontId="25" fillId="0" borderId="93" xfId="0" applyFont="1" applyBorder="1" applyAlignment="1" applyProtection="1">
      <alignment horizontal="center" vertical="center"/>
      <protection hidden="1"/>
    </xf>
    <xf numFmtId="165" fontId="47" fillId="12" borderId="110" xfId="0" applyNumberFormat="1" applyFont="1" applyFill="1" applyBorder="1" applyAlignment="1" applyProtection="1">
      <alignment horizontal="center" vertical="center" shrinkToFit="1"/>
      <protection hidden="1"/>
    </xf>
    <xf numFmtId="165" fontId="47" fillId="12" borderId="111" xfId="0" applyNumberFormat="1" applyFont="1" applyFill="1" applyBorder="1" applyAlignment="1" applyProtection="1">
      <alignment horizontal="center" vertical="center" shrinkToFit="1"/>
      <protection hidden="1"/>
    </xf>
    <xf numFmtId="165" fontId="47" fillId="12" borderId="112" xfId="0" applyNumberFormat="1" applyFont="1" applyFill="1" applyBorder="1" applyAlignment="1" applyProtection="1">
      <alignment horizontal="center" vertical="center" shrinkToFit="1"/>
      <protection hidden="1"/>
    </xf>
    <xf numFmtId="165" fontId="47" fillId="12" borderId="102" xfId="0" applyNumberFormat="1" applyFont="1" applyFill="1" applyBorder="1" applyAlignment="1" applyProtection="1">
      <alignment horizontal="center" vertical="center" shrinkToFit="1"/>
      <protection hidden="1"/>
    </xf>
    <xf numFmtId="165" fontId="47" fillId="12" borderId="0" xfId="0" applyNumberFormat="1" applyFont="1" applyFill="1" applyAlignment="1" applyProtection="1">
      <alignment horizontal="center" vertical="center" shrinkToFit="1"/>
      <protection hidden="1"/>
    </xf>
    <xf numFmtId="165" fontId="47" fillId="12" borderId="113" xfId="0" applyNumberFormat="1" applyFont="1" applyFill="1" applyBorder="1" applyAlignment="1" applyProtection="1">
      <alignment horizontal="center" vertical="center" shrinkToFit="1"/>
      <protection hidden="1"/>
    </xf>
    <xf numFmtId="165" fontId="47" fillId="12" borderId="114" xfId="0" applyNumberFormat="1" applyFont="1" applyFill="1" applyBorder="1" applyAlignment="1" applyProtection="1">
      <alignment horizontal="center" vertical="center" shrinkToFit="1"/>
      <protection hidden="1"/>
    </xf>
    <xf numFmtId="165" fontId="47" fillId="12" borderId="101" xfId="0" applyNumberFormat="1" applyFont="1" applyFill="1" applyBorder="1" applyAlignment="1" applyProtection="1">
      <alignment horizontal="center" vertical="center" shrinkToFit="1"/>
      <protection hidden="1"/>
    </xf>
    <xf numFmtId="165" fontId="47" fillId="12" borderId="115" xfId="0" applyNumberFormat="1" applyFont="1" applyFill="1" applyBorder="1" applyAlignment="1" applyProtection="1">
      <alignment horizontal="center" vertical="center" shrinkToFit="1"/>
      <protection hidden="1"/>
    </xf>
    <xf numFmtId="0" fontId="64" fillId="20" borderId="110" xfId="0" applyFont="1" applyFill="1" applyBorder="1" applyAlignment="1" applyProtection="1">
      <alignment horizontal="center" vertical="center" shrinkToFit="1"/>
      <protection hidden="1"/>
    </xf>
    <xf numFmtId="0" fontId="64" fillId="20" borderId="111" xfId="0" applyFont="1" applyFill="1" applyBorder="1" applyAlignment="1" applyProtection="1">
      <alignment horizontal="center" vertical="center" shrinkToFit="1"/>
      <protection hidden="1"/>
    </xf>
    <xf numFmtId="0" fontId="64" fillId="20" borderId="112" xfId="0" applyFont="1" applyFill="1" applyBorder="1" applyAlignment="1" applyProtection="1">
      <alignment horizontal="center" vertical="center" shrinkToFit="1"/>
      <protection hidden="1"/>
    </xf>
    <xf numFmtId="0" fontId="64" fillId="20" borderId="102" xfId="0" applyFont="1" applyFill="1" applyBorder="1" applyAlignment="1" applyProtection="1">
      <alignment horizontal="center" vertical="center" shrinkToFit="1"/>
      <protection hidden="1"/>
    </xf>
    <xf numFmtId="0" fontId="64" fillId="20" borderId="0" xfId="0" applyFont="1" applyFill="1" applyAlignment="1" applyProtection="1">
      <alignment horizontal="center" vertical="center" shrinkToFit="1"/>
      <protection hidden="1"/>
    </xf>
    <xf numFmtId="0" fontId="64" fillId="20" borderId="113" xfId="0" applyFont="1" applyFill="1" applyBorder="1" applyAlignment="1" applyProtection="1">
      <alignment horizontal="center" vertical="center" shrinkToFit="1"/>
      <protection hidden="1"/>
    </xf>
    <xf numFmtId="0" fontId="64" fillId="20" borderId="114" xfId="0" applyFont="1" applyFill="1" applyBorder="1" applyAlignment="1" applyProtection="1">
      <alignment horizontal="center" vertical="center" shrinkToFit="1"/>
      <protection hidden="1"/>
    </xf>
    <xf numFmtId="0" fontId="64" fillId="20" borderId="101" xfId="0" applyFont="1" applyFill="1" applyBorder="1" applyAlignment="1" applyProtection="1">
      <alignment horizontal="center" vertical="center" shrinkToFit="1"/>
      <protection hidden="1"/>
    </xf>
    <xf numFmtId="0" fontId="64" fillId="20" borderId="115" xfId="0" applyFont="1" applyFill="1" applyBorder="1" applyAlignment="1" applyProtection="1">
      <alignment horizontal="center" vertical="center" shrinkToFit="1"/>
      <protection hidden="1"/>
    </xf>
    <xf numFmtId="1" fontId="80" fillId="3" borderId="93" xfId="1" applyNumberFormat="1" applyFont="1" applyFill="1" applyBorder="1" applyAlignment="1" applyProtection="1">
      <alignment horizontal="center" vertical="center" wrapText="1" shrinkToFit="1"/>
      <protection hidden="1"/>
    </xf>
    <xf numFmtId="0" fontId="80" fillId="3" borderId="93" xfId="1" applyFont="1" applyFill="1" applyBorder="1" applyAlignment="1" applyProtection="1">
      <alignment horizontal="center" vertical="center" shrinkToFit="1"/>
      <protection hidden="1"/>
    </xf>
    <xf numFmtId="0" fontId="82" fillId="3" borderId="93" xfId="1" applyFont="1" applyFill="1" applyBorder="1" applyAlignment="1" applyProtection="1">
      <alignment horizontal="center" vertical="center" shrinkToFit="1"/>
      <protection hidden="1"/>
    </xf>
    <xf numFmtId="0" fontId="67" fillId="0" borderId="93" xfId="1" applyFont="1" applyFill="1" applyBorder="1" applyAlignment="1" applyProtection="1">
      <alignment horizontal="right" vertical="center" shrinkToFit="1"/>
      <protection hidden="1"/>
    </xf>
    <xf numFmtId="0" fontId="80" fillId="0" borderId="93" xfId="1" applyFont="1" applyFill="1" applyBorder="1" applyAlignment="1" applyProtection="1">
      <alignment horizontal="right" vertical="center" shrinkToFit="1"/>
      <protection hidden="1"/>
    </xf>
    <xf numFmtId="164" fontId="67" fillId="3" borderId="93" xfId="1" applyNumberFormat="1" applyFont="1" applyFill="1" applyBorder="1" applyAlignment="1" applyProtection="1">
      <alignment horizontal="center" vertical="center" shrinkToFit="1"/>
      <protection hidden="1"/>
    </xf>
    <xf numFmtId="0" fontId="67" fillId="0" borderId="93" xfId="0" applyFont="1" applyBorder="1" applyAlignment="1" applyProtection="1">
      <alignment horizontal="right" vertical="center" shrinkToFit="1"/>
      <protection hidden="1"/>
    </xf>
    <xf numFmtId="0" fontId="67" fillId="3" borderId="93" xfId="1" applyFont="1" applyFill="1" applyBorder="1" applyAlignment="1" applyProtection="1">
      <alignment horizontal="right" vertical="center" shrinkToFit="1"/>
      <protection hidden="1"/>
    </xf>
    <xf numFmtId="0" fontId="67" fillId="3" borderId="93" xfId="1" applyNumberFormat="1" applyFont="1" applyFill="1" applyBorder="1" applyAlignment="1" applyProtection="1">
      <alignment horizontal="center" vertical="center" shrinkToFit="1"/>
      <protection hidden="1"/>
    </xf>
    <xf numFmtId="0" fontId="90" fillId="0" borderId="105" xfId="0" applyFont="1" applyBorder="1" applyAlignment="1" applyProtection="1">
      <alignment horizontal="right" vertical="center" shrinkToFit="1"/>
      <protection hidden="1"/>
    </xf>
    <xf numFmtId="0" fontId="90" fillId="0" borderId="12" xfId="0" applyFont="1" applyBorder="1" applyAlignment="1" applyProtection="1">
      <alignment horizontal="right" vertical="center" shrinkToFit="1"/>
      <protection hidden="1"/>
    </xf>
    <xf numFmtId="0" fontId="90" fillId="3" borderId="12" xfId="0" applyFont="1" applyFill="1" applyBorder="1" applyAlignment="1" applyProtection="1">
      <alignment horizontal="center" vertical="center" shrinkToFit="1"/>
      <protection hidden="1"/>
    </xf>
    <xf numFmtId="0" fontId="7" fillId="0" borderId="95" xfId="0" applyFont="1" applyBorder="1" applyAlignment="1" applyProtection="1">
      <alignment horizontal="right" vertical="center" shrinkToFit="1"/>
      <protection hidden="1"/>
    </xf>
    <xf numFmtId="0" fontId="7" fillId="0" borderId="12" xfId="0" applyFont="1" applyBorder="1" applyAlignment="1" applyProtection="1">
      <alignment horizontal="right" vertical="center" shrinkToFit="1"/>
      <protection hidden="1"/>
    </xf>
    <xf numFmtId="0" fontId="72" fillId="3" borderId="12" xfId="0" applyFont="1" applyFill="1" applyBorder="1" applyAlignment="1" applyProtection="1">
      <alignment horizontal="right" vertical="center" shrinkToFit="1"/>
      <protection hidden="1"/>
    </xf>
    <xf numFmtId="0" fontId="72" fillId="3" borderId="96" xfId="0" applyFont="1" applyFill="1" applyBorder="1" applyAlignment="1" applyProtection="1">
      <alignment horizontal="right" vertical="center" shrinkToFit="1"/>
      <protection hidden="1"/>
    </xf>
    <xf numFmtId="0" fontId="73" fillId="3" borderId="12" xfId="0" applyFont="1" applyFill="1" applyBorder="1" applyAlignment="1" applyProtection="1">
      <alignment horizontal="center" vertical="center" shrinkToFit="1"/>
      <protection hidden="1"/>
    </xf>
    <xf numFmtId="0" fontId="73" fillId="0" borderId="12" xfId="0" applyFont="1" applyBorder="1" applyAlignment="1" applyProtection="1">
      <alignment horizontal="center" shrinkToFit="1"/>
      <protection hidden="1"/>
    </xf>
    <xf numFmtId="0" fontId="73" fillId="0" borderId="96" xfId="0" applyFont="1" applyBorder="1" applyAlignment="1" applyProtection="1">
      <alignment horizontal="center" shrinkToFit="1"/>
      <protection hidden="1"/>
    </xf>
    <xf numFmtId="0" fontId="7" fillId="0" borderId="23" xfId="0" applyFont="1" applyBorder="1" applyAlignment="1" applyProtection="1">
      <alignment horizontal="center" vertical="center" shrinkToFit="1"/>
      <protection hidden="1"/>
    </xf>
    <xf numFmtId="0" fontId="1" fillId="2" borderId="25" xfId="0" applyFont="1" applyFill="1" applyBorder="1" applyAlignment="1" applyProtection="1">
      <alignment horizontal="center" vertical="center"/>
      <protection hidden="1"/>
    </xf>
    <xf numFmtId="0" fontId="1" fillId="2" borderId="14" xfId="0" applyFont="1" applyFill="1" applyBorder="1" applyAlignment="1" applyProtection="1">
      <alignment horizontal="center" vertical="center"/>
      <protection hidden="1"/>
    </xf>
    <xf numFmtId="0" fontId="1" fillId="2" borderId="26" xfId="0" applyFont="1" applyFill="1" applyBorder="1" applyAlignment="1" applyProtection="1">
      <alignment horizontal="center" vertical="center"/>
      <protection hidden="1"/>
    </xf>
    <xf numFmtId="0" fontId="89" fillId="0" borderId="12" xfId="0" applyFont="1" applyBorder="1" applyAlignment="1" applyProtection="1">
      <alignment horizontal="right" vertical="center" shrinkToFit="1"/>
      <protection hidden="1"/>
    </xf>
    <xf numFmtId="0" fontId="12" fillId="13" borderId="5" xfId="0" applyFont="1" applyFill="1" applyBorder="1" applyAlignment="1" applyProtection="1">
      <alignment horizontal="right" vertical="center" wrapText="1"/>
      <protection hidden="1"/>
    </xf>
    <xf numFmtId="0" fontId="12" fillId="13" borderId="0" xfId="0" applyFont="1" applyFill="1" applyAlignment="1" applyProtection="1">
      <alignment horizontal="right" vertical="center" wrapText="1"/>
      <protection hidden="1"/>
    </xf>
    <xf numFmtId="0" fontId="89" fillId="3" borderId="12" xfId="0" applyFont="1" applyFill="1" applyBorder="1" applyAlignment="1" applyProtection="1">
      <alignment horizontal="center" vertical="center" shrinkToFit="1"/>
      <protection hidden="1"/>
    </xf>
    <xf numFmtId="0" fontId="89" fillId="3" borderId="106" xfId="0" applyFont="1" applyFill="1" applyBorder="1" applyAlignment="1" applyProtection="1">
      <alignment horizontal="center" vertical="center" shrinkToFit="1"/>
      <protection hidden="1"/>
    </xf>
    <xf numFmtId="0" fontId="89" fillId="0" borderId="116" xfId="0" applyFont="1" applyBorder="1" applyAlignment="1" applyProtection="1">
      <alignment horizontal="right" vertical="center" shrinkToFit="1"/>
      <protection hidden="1"/>
    </xf>
    <xf numFmtId="0" fontId="89" fillId="0" borderId="13" xfId="0" applyFont="1" applyBorder="1" applyAlignment="1" applyProtection="1">
      <alignment horizontal="right" vertical="center" shrinkToFit="1"/>
      <protection hidden="1"/>
    </xf>
    <xf numFmtId="0" fontId="89" fillId="0" borderId="105" xfId="0" applyFont="1" applyBorder="1" applyAlignment="1" applyProtection="1">
      <alignment horizontal="right" vertical="center" shrinkToFit="1"/>
      <protection hidden="1"/>
    </xf>
    <xf numFmtId="22" fontId="72" fillId="0" borderId="51" xfId="0" applyNumberFormat="1" applyFont="1" applyBorder="1" applyAlignment="1" applyProtection="1">
      <alignment horizontal="center" vertical="center" readingOrder="2"/>
      <protection hidden="1"/>
    </xf>
    <xf numFmtId="0" fontId="90" fillId="0" borderId="103" xfId="0" applyFont="1" applyBorder="1" applyAlignment="1" applyProtection="1">
      <alignment horizontal="right" vertical="center" shrinkToFit="1"/>
      <protection hidden="1"/>
    </xf>
    <xf numFmtId="0" fontId="90" fillId="0" borderId="14" xfId="0" applyFont="1" applyBorder="1" applyAlignment="1" applyProtection="1">
      <alignment horizontal="right" vertical="center" shrinkToFit="1"/>
      <protection hidden="1"/>
    </xf>
    <xf numFmtId="0" fontId="91" fillId="3" borderId="14" xfId="1" applyNumberFormat="1" applyFont="1" applyFill="1" applyBorder="1" applyAlignment="1" applyProtection="1">
      <alignment horizontal="center" vertical="center" shrinkToFit="1"/>
      <protection hidden="1"/>
    </xf>
    <xf numFmtId="0" fontId="90" fillId="0" borderId="14" xfId="0" applyFont="1" applyBorder="1" applyAlignment="1" applyProtection="1">
      <alignment horizontal="center" vertical="center" shrinkToFit="1"/>
      <protection hidden="1"/>
    </xf>
    <xf numFmtId="0" fontId="89" fillId="3" borderId="14" xfId="0" applyFont="1" applyFill="1" applyBorder="1" applyAlignment="1" applyProtection="1">
      <alignment horizontal="center" vertical="center" shrinkToFit="1"/>
      <protection hidden="1"/>
    </xf>
    <xf numFmtId="0" fontId="90" fillId="3" borderId="14" xfId="0" applyFont="1" applyFill="1" applyBorder="1" applyAlignment="1" applyProtection="1">
      <alignment horizontal="center" vertical="center" shrinkToFit="1"/>
      <protection hidden="1"/>
    </xf>
    <xf numFmtId="0" fontId="72" fillId="0" borderId="51" xfId="0" applyFont="1" applyBorder="1" applyAlignment="1" applyProtection="1">
      <alignment horizontal="center" vertical="center" readingOrder="2"/>
      <protection hidden="1"/>
    </xf>
    <xf numFmtId="0" fontId="90" fillId="3" borderId="104" xfId="0" applyFont="1" applyFill="1" applyBorder="1" applyAlignment="1" applyProtection="1">
      <alignment horizontal="center" vertical="center" shrinkToFit="1"/>
      <protection hidden="1"/>
    </xf>
    <xf numFmtId="0" fontId="89" fillId="0" borderId="12" xfId="0" applyFont="1" applyBorder="1" applyAlignment="1" applyProtection="1">
      <alignment horizontal="left" vertical="center" shrinkToFit="1"/>
      <protection hidden="1"/>
    </xf>
    <xf numFmtId="0" fontId="90" fillId="0" borderId="12" xfId="0" applyFont="1" applyBorder="1" applyAlignment="1" applyProtection="1">
      <alignment horizontal="left" vertical="center" shrinkToFit="1"/>
      <protection hidden="1"/>
    </xf>
    <xf numFmtId="0" fontId="90" fillId="0" borderId="106" xfId="0" applyFont="1" applyBorder="1" applyAlignment="1" applyProtection="1">
      <alignment horizontal="left" vertical="center" shrinkToFit="1"/>
      <protection hidden="1"/>
    </xf>
    <xf numFmtId="0" fontId="73" fillId="23" borderId="119" xfId="0" applyFont="1" applyFill="1" applyBorder="1" applyAlignment="1" applyProtection="1">
      <alignment horizontal="center" vertical="center"/>
      <protection hidden="1"/>
    </xf>
    <xf numFmtId="164" fontId="89" fillId="3" borderId="12" xfId="0" applyNumberFormat="1" applyFont="1" applyFill="1" applyBorder="1" applyAlignment="1" applyProtection="1">
      <alignment horizontal="center" vertical="center" shrinkToFit="1"/>
      <protection hidden="1"/>
    </xf>
    <xf numFmtId="0" fontId="89" fillId="0" borderId="106" xfId="0" applyFont="1" applyBorder="1" applyAlignment="1" applyProtection="1">
      <alignment horizontal="left" vertical="center" shrinkToFit="1"/>
      <protection hidden="1"/>
    </xf>
    <xf numFmtId="49" fontId="89" fillId="3" borderId="13" xfId="0" applyNumberFormat="1" applyFont="1" applyFill="1" applyBorder="1" applyAlignment="1" applyProtection="1">
      <alignment horizontal="center" vertical="center" shrinkToFit="1"/>
      <protection hidden="1"/>
    </xf>
    <xf numFmtId="0" fontId="89" fillId="3" borderId="13" xfId="0" applyFont="1" applyFill="1" applyBorder="1" applyAlignment="1" applyProtection="1">
      <alignment horizontal="center" vertical="center" shrinkToFit="1"/>
      <protection hidden="1"/>
    </xf>
    <xf numFmtId="0" fontId="90" fillId="3" borderId="13" xfId="0" applyFont="1" applyFill="1" applyBorder="1" applyAlignment="1" applyProtection="1">
      <alignment horizontal="center" vertical="center" shrinkToFit="1"/>
      <protection hidden="1"/>
    </xf>
    <xf numFmtId="0" fontId="90" fillId="3" borderId="117" xfId="0" applyFont="1" applyFill="1" applyBorder="1" applyAlignment="1" applyProtection="1">
      <alignment horizontal="center" vertical="center" shrinkToFit="1"/>
      <protection hidden="1"/>
    </xf>
    <xf numFmtId="49" fontId="90" fillId="3" borderId="13" xfId="0" applyNumberFormat="1" applyFont="1" applyFill="1" applyBorder="1" applyAlignment="1" applyProtection="1">
      <alignment horizontal="center" vertical="center" shrinkToFit="1"/>
      <protection hidden="1"/>
    </xf>
    <xf numFmtId="0" fontId="73" fillId="0" borderId="20" xfId="0" applyFont="1" applyBorder="1" applyAlignment="1" applyProtection="1">
      <alignment horizontal="center" vertical="center" shrinkToFit="1"/>
      <protection hidden="1"/>
    </xf>
    <xf numFmtId="0" fontId="12" fillId="0" borderId="0" xfId="0" applyFont="1" applyAlignment="1" applyProtection="1">
      <alignment horizontal="right" vertical="center" wrapText="1"/>
      <protection hidden="1"/>
    </xf>
    <xf numFmtId="0" fontId="12" fillId="0" borderId="11" xfId="0" applyFont="1" applyBorder="1" applyAlignment="1" applyProtection="1">
      <alignment horizontal="right" vertical="center" wrapText="1"/>
      <protection hidden="1"/>
    </xf>
    <xf numFmtId="0" fontId="7" fillId="0" borderId="95" xfId="0" applyFont="1" applyBorder="1" applyAlignment="1" applyProtection="1">
      <alignment horizontal="center" vertical="center" shrinkToFit="1"/>
      <protection hidden="1"/>
    </xf>
    <xf numFmtId="0" fontId="7" fillId="0" borderId="12" xfId="0" applyFont="1" applyBorder="1" applyAlignment="1" applyProtection="1">
      <alignment horizontal="center" vertical="center" shrinkToFit="1"/>
      <protection hidden="1"/>
    </xf>
    <xf numFmtId="164" fontId="73" fillId="3" borderId="12" xfId="0" applyNumberFormat="1" applyFont="1" applyFill="1" applyBorder="1" applyAlignment="1" applyProtection="1">
      <alignment horizontal="center" vertical="center" shrinkToFit="1"/>
      <protection hidden="1"/>
    </xf>
    <xf numFmtId="0" fontId="7" fillId="3" borderId="12" xfId="0" applyFont="1" applyFill="1" applyBorder="1" applyAlignment="1" applyProtection="1">
      <alignment horizontal="center" vertical="center" shrinkToFit="1"/>
      <protection hidden="1"/>
    </xf>
    <xf numFmtId="0" fontId="1" fillId="0" borderId="13" xfId="0" applyFont="1" applyBorder="1" applyAlignment="1" applyProtection="1">
      <alignment horizontal="center" vertical="center" shrinkToFit="1"/>
      <protection hidden="1"/>
    </xf>
    <xf numFmtId="0" fontId="73" fillId="0" borderId="61" xfId="0" applyFont="1" applyBorder="1" applyAlignment="1" applyProtection="1">
      <alignment horizontal="center" vertical="center" shrinkToFit="1"/>
      <protection hidden="1"/>
    </xf>
    <xf numFmtId="0" fontId="73" fillId="0" borderId="13" xfId="0" applyFont="1" applyBorder="1" applyAlignment="1" applyProtection="1">
      <alignment horizontal="center" vertical="center" shrinkToFit="1"/>
      <protection hidden="1"/>
    </xf>
    <xf numFmtId="165" fontId="7" fillId="3" borderId="13" xfId="0" applyNumberFormat="1" applyFont="1" applyFill="1" applyBorder="1" applyAlignment="1" applyProtection="1">
      <alignment horizontal="center" vertical="center" shrinkToFit="1"/>
      <protection hidden="1"/>
    </xf>
    <xf numFmtId="165" fontId="7" fillId="3" borderId="97" xfId="0" applyNumberFormat="1" applyFont="1" applyFill="1" applyBorder="1" applyAlignment="1" applyProtection="1">
      <alignment horizontal="center" vertical="center" shrinkToFit="1"/>
      <protection hidden="1"/>
    </xf>
    <xf numFmtId="0" fontId="73" fillId="0" borderId="60" xfId="0" applyFont="1" applyBorder="1" applyAlignment="1" applyProtection="1">
      <alignment horizontal="center" vertical="center" shrinkToFit="1"/>
      <protection hidden="1"/>
    </xf>
    <xf numFmtId="0" fontId="73" fillId="0" borderId="0" xfId="0" applyFont="1" applyAlignment="1" applyProtection="1">
      <alignment horizontal="center" vertical="center" shrinkToFit="1"/>
      <protection hidden="1"/>
    </xf>
    <xf numFmtId="165" fontId="73" fillId="3" borderId="12" xfId="0" applyNumberFormat="1" applyFont="1" applyFill="1" applyBorder="1" applyAlignment="1" applyProtection="1">
      <alignment horizontal="right" vertical="center" shrinkToFit="1"/>
      <protection hidden="1"/>
    </xf>
    <xf numFmtId="165" fontId="73" fillId="3" borderId="96" xfId="0" applyNumberFormat="1" applyFont="1" applyFill="1" applyBorder="1" applyAlignment="1" applyProtection="1">
      <alignment horizontal="right" vertical="center" shrinkToFit="1"/>
      <protection hidden="1"/>
    </xf>
    <xf numFmtId="0" fontId="73" fillId="0" borderId="95" xfId="0" applyFont="1" applyBorder="1" applyAlignment="1" applyProtection="1">
      <alignment horizontal="center" vertical="center" shrinkToFit="1"/>
      <protection hidden="1"/>
    </xf>
    <xf numFmtId="0" fontId="73" fillId="0" borderId="12" xfId="0" applyFont="1" applyBorder="1" applyAlignment="1" applyProtection="1">
      <alignment horizontal="center" vertical="center" shrinkToFit="1"/>
      <protection hidden="1"/>
    </xf>
    <xf numFmtId="0" fontId="74" fillId="6" borderId="61" xfId="0" applyFont="1" applyFill="1" applyBorder="1" applyAlignment="1" applyProtection="1">
      <alignment horizontal="center" shrinkToFit="1"/>
      <protection hidden="1"/>
    </xf>
    <xf numFmtId="0" fontId="74" fillId="6" borderId="13" xfId="0" applyFont="1" applyFill="1" applyBorder="1" applyAlignment="1" applyProtection="1">
      <alignment horizontal="center" shrinkToFit="1"/>
      <protection hidden="1"/>
    </xf>
    <xf numFmtId="0" fontId="74" fillId="6" borderId="97" xfId="0" applyFont="1" applyFill="1" applyBorder="1" applyAlignment="1" applyProtection="1">
      <alignment horizontal="center" shrinkToFit="1"/>
      <protection hidden="1"/>
    </xf>
    <xf numFmtId="0" fontId="74" fillId="6" borderId="60" xfId="0" applyFont="1" applyFill="1" applyBorder="1" applyAlignment="1" applyProtection="1">
      <alignment horizontal="center" vertical="center" shrinkToFit="1"/>
      <protection hidden="1"/>
    </xf>
    <xf numFmtId="0" fontId="74" fillId="6" borderId="0" xfId="0" applyFont="1" applyFill="1" applyAlignment="1" applyProtection="1">
      <alignment horizontal="center" vertical="center" shrinkToFit="1"/>
      <protection hidden="1"/>
    </xf>
    <xf numFmtId="0" fontId="74" fillId="6" borderId="92" xfId="0" applyFont="1" applyFill="1" applyBorder="1" applyAlignment="1" applyProtection="1">
      <alignment horizontal="center" vertical="center" shrinkToFit="1"/>
      <protection hidden="1"/>
    </xf>
    <xf numFmtId="0" fontId="74" fillId="6" borderId="11" xfId="0" applyFont="1" applyFill="1" applyBorder="1" applyAlignment="1" applyProtection="1">
      <alignment horizontal="center" vertical="center" shrinkToFit="1"/>
      <protection hidden="1"/>
    </xf>
    <xf numFmtId="0" fontId="74" fillId="6" borderId="91" xfId="0" applyFont="1" applyFill="1" applyBorder="1" applyAlignment="1" applyProtection="1">
      <alignment horizontal="center" vertical="center" shrinkToFit="1"/>
      <protection hidden="1"/>
    </xf>
    <xf numFmtId="0" fontId="7" fillId="3" borderId="96" xfId="0" applyFont="1" applyFill="1" applyBorder="1" applyAlignment="1" applyProtection="1">
      <alignment horizontal="center" vertical="center" shrinkToFit="1"/>
      <protection hidden="1"/>
    </xf>
    <xf numFmtId="0" fontId="73" fillId="0" borderId="95" xfId="0" applyFont="1" applyBorder="1" applyAlignment="1" applyProtection="1">
      <alignment horizontal="right" vertical="center" shrinkToFit="1"/>
      <protection hidden="1"/>
    </xf>
    <xf numFmtId="0" fontId="73" fillId="0" borderId="12" xfId="0" applyFont="1" applyBorder="1" applyAlignment="1" applyProtection="1">
      <alignment horizontal="right" vertical="center" shrinkToFit="1"/>
      <protection hidden="1"/>
    </xf>
    <xf numFmtId="165" fontId="73" fillId="3" borderId="12" xfId="0" applyNumberFormat="1" applyFont="1" applyFill="1" applyBorder="1" applyAlignment="1" applyProtection="1">
      <alignment horizontal="right" shrinkToFit="1"/>
      <protection hidden="1"/>
    </xf>
    <xf numFmtId="165" fontId="73" fillId="3" borderId="96" xfId="0" applyNumberFormat="1" applyFont="1" applyFill="1" applyBorder="1" applyAlignment="1" applyProtection="1">
      <alignment horizontal="right" shrinkToFit="1"/>
      <protection hidden="1"/>
    </xf>
    <xf numFmtId="0" fontId="74" fillId="6" borderId="1" xfId="0" applyFont="1" applyFill="1" applyBorder="1" applyAlignment="1" applyProtection="1">
      <alignment horizontal="center" vertical="center" shrinkToFit="1"/>
      <protection hidden="1"/>
    </xf>
    <xf numFmtId="0" fontId="6" fillId="0" borderId="0" xfId="0" applyFont="1" applyAlignment="1" applyProtection="1">
      <alignment horizontal="center" vertical="center" shrinkToFit="1"/>
      <protection hidden="1"/>
    </xf>
    <xf numFmtId="165" fontId="3" fillId="0" borderId="0" xfId="0" applyNumberFormat="1" applyFont="1" applyAlignment="1" applyProtection="1">
      <alignment horizontal="center" vertical="center" shrinkToFit="1"/>
      <protection hidden="1"/>
    </xf>
    <xf numFmtId="0" fontId="3" fillId="0" borderId="0" xfId="0" applyFont="1" applyAlignment="1" applyProtection="1">
      <alignment horizontal="center" vertical="center" shrinkToFit="1"/>
      <protection hidden="1"/>
    </xf>
    <xf numFmtId="0" fontId="6" fillId="0" borderId="0" xfId="0" applyFont="1" applyAlignment="1" applyProtection="1">
      <alignment horizontal="right" vertical="center" shrinkToFit="1"/>
      <protection hidden="1"/>
    </xf>
    <xf numFmtId="0" fontId="6" fillId="0" borderId="0" xfId="0" applyFont="1" applyAlignment="1" applyProtection="1">
      <alignment horizontal="center" shrinkToFit="1"/>
      <protection hidden="1"/>
    </xf>
    <xf numFmtId="0" fontId="3" fillId="0" borderId="0" xfId="0" applyFont="1" applyAlignment="1" applyProtection="1">
      <alignment horizontal="center" shrinkToFit="1"/>
      <protection hidden="1"/>
    </xf>
    <xf numFmtId="0" fontId="6" fillId="0" borderId="0" xfId="0" applyFont="1" applyAlignment="1" applyProtection="1">
      <alignment horizontal="right" shrinkToFit="1"/>
      <protection hidden="1"/>
    </xf>
    <xf numFmtId="0" fontId="73" fillId="3" borderId="96" xfId="0" applyFont="1" applyFill="1" applyBorder="1" applyAlignment="1" applyProtection="1">
      <alignment horizontal="center" vertical="center" shrinkToFit="1"/>
      <protection hidden="1"/>
    </xf>
    <xf numFmtId="165" fontId="72" fillId="19" borderId="12" xfId="0" applyNumberFormat="1" applyFont="1" applyFill="1" applyBorder="1" applyAlignment="1" applyProtection="1">
      <alignment horizontal="right" vertical="center" shrinkToFit="1"/>
      <protection hidden="1"/>
    </xf>
    <xf numFmtId="165" fontId="72" fillId="19" borderId="96" xfId="0" applyNumberFormat="1" applyFont="1" applyFill="1" applyBorder="1" applyAlignment="1" applyProtection="1">
      <alignment horizontal="right" vertical="center" shrinkToFit="1"/>
      <protection hidden="1"/>
    </xf>
    <xf numFmtId="0" fontId="6" fillId="0" borderId="13" xfId="0" applyFont="1" applyBorder="1" applyAlignment="1" applyProtection="1">
      <alignment horizontal="right" vertical="top" shrinkToFit="1"/>
      <protection hidden="1"/>
    </xf>
    <xf numFmtId="0" fontId="1" fillId="0" borderId="53" xfId="0" applyFont="1" applyBorder="1" applyAlignment="1" applyProtection="1">
      <alignment horizontal="center" vertical="top" shrinkToFit="1"/>
      <protection hidden="1"/>
    </xf>
    <xf numFmtId="0" fontId="73" fillId="0" borderId="11" xfId="0" applyFont="1" applyBorder="1" applyAlignment="1" applyProtection="1">
      <alignment horizontal="center" shrinkToFit="1"/>
      <protection hidden="1"/>
    </xf>
    <xf numFmtId="0" fontId="1" fillId="0" borderId="1" xfId="0" applyFont="1" applyBorder="1" applyAlignment="1" applyProtection="1">
      <alignment horizontal="right" vertical="center" shrinkToFit="1"/>
      <protection hidden="1"/>
    </xf>
    <xf numFmtId="0" fontId="1" fillId="0" borderId="11" xfId="0" applyFont="1" applyBorder="1" applyAlignment="1" applyProtection="1">
      <alignment horizontal="right" vertical="center" shrinkToFit="1"/>
      <protection hidden="1"/>
    </xf>
    <xf numFmtId="0" fontId="1" fillId="0" borderId="91" xfId="0" applyFont="1" applyBorder="1" applyAlignment="1" applyProtection="1">
      <alignment horizontal="right" vertical="center" shrinkToFit="1"/>
      <protection hidden="1"/>
    </xf>
    <xf numFmtId="0" fontId="72" fillId="19" borderId="61" xfId="0" applyFont="1" applyFill="1" applyBorder="1" applyAlignment="1" applyProtection="1">
      <alignment horizontal="center" vertical="center" shrinkToFit="1"/>
      <protection hidden="1"/>
    </xf>
    <xf numFmtId="0" fontId="72" fillId="19" borderId="13" xfId="0" applyFont="1" applyFill="1" applyBorder="1" applyAlignment="1" applyProtection="1">
      <alignment horizontal="center" vertical="center" shrinkToFit="1"/>
      <protection hidden="1"/>
    </xf>
    <xf numFmtId="0" fontId="27" fillId="0" borderId="126" xfId="0" applyFont="1" applyBorder="1" applyAlignment="1" applyProtection="1">
      <alignment horizontal="center" vertical="center"/>
      <protection hidden="1"/>
    </xf>
    <xf numFmtId="0" fontId="27" fillId="0" borderId="127" xfId="0" applyFont="1" applyBorder="1" applyAlignment="1" applyProtection="1">
      <alignment horizontal="center" vertical="center"/>
      <protection hidden="1"/>
    </xf>
    <xf numFmtId="0" fontId="27" fillId="0" borderId="128" xfId="0" applyFont="1" applyBorder="1" applyAlignment="1" applyProtection="1">
      <alignment horizontal="center" vertical="center"/>
      <protection hidden="1"/>
    </xf>
    <xf numFmtId="0" fontId="27" fillId="0" borderId="132" xfId="0" applyFont="1" applyBorder="1" applyAlignment="1" applyProtection="1">
      <alignment horizontal="center" vertical="center"/>
      <protection hidden="1"/>
    </xf>
    <xf numFmtId="0" fontId="27" fillId="0" borderId="20" xfId="0" applyFont="1" applyBorder="1" applyAlignment="1" applyProtection="1">
      <alignment horizontal="center" vertical="center"/>
      <protection hidden="1"/>
    </xf>
    <xf numFmtId="0" fontId="27" fillId="0" borderId="133" xfId="0" applyFont="1" applyBorder="1" applyAlignment="1" applyProtection="1">
      <alignment horizontal="center" vertical="center"/>
      <protection hidden="1"/>
    </xf>
    <xf numFmtId="0" fontId="27" fillId="0" borderId="129" xfId="0" applyFont="1" applyBorder="1" applyAlignment="1" applyProtection="1">
      <alignment horizontal="center" vertical="center"/>
      <protection hidden="1"/>
    </xf>
    <xf numFmtId="0" fontId="27" fillId="0" borderId="130" xfId="0" applyFont="1" applyBorder="1" applyAlignment="1" applyProtection="1">
      <alignment horizontal="center" vertical="center"/>
      <protection hidden="1"/>
    </xf>
    <xf numFmtId="0" fontId="27" fillId="0" borderId="131" xfId="0" applyFont="1" applyBorder="1" applyAlignment="1" applyProtection="1">
      <alignment horizontal="center" vertical="center"/>
      <protection hidden="1"/>
    </xf>
    <xf numFmtId="0" fontId="38" fillId="18" borderId="20" xfId="0" applyFont="1" applyFill="1" applyBorder="1" applyAlignment="1" applyProtection="1">
      <alignment horizontal="center" vertical="center"/>
      <protection hidden="1"/>
    </xf>
    <xf numFmtId="0" fontId="30" fillId="10" borderId="124" xfId="0" applyFont="1" applyFill="1" applyBorder="1" applyAlignment="1" applyProtection="1">
      <alignment horizontal="center" vertical="center"/>
      <protection hidden="1"/>
    </xf>
    <xf numFmtId="0" fontId="30" fillId="10" borderId="0" xfId="0" applyFont="1" applyFill="1" applyAlignment="1" applyProtection="1">
      <alignment horizontal="center" vertical="center"/>
      <protection hidden="1"/>
    </xf>
    <xf numFmtId="0" fontId="30" fillId="10" borderId="125" xfId="0" applyFont="1" applyFill="1" applyBorder="1" applyAlignment="1" applyProtection="1">
      <alignment horizontal="center" vertical="center"/>
      <protection hidden="1"/>
    </xf>
    <xf numFmtId="0" fontId="75" fillId="3" borderId="8" xfId="0" applyFont="1" applyFill="1" applyBorder="1" applyAlignment="1" applyProtection="1">
      <alignment horizontal="center" vertical="center" textRotation="90" wrapText="1"/>
      <protection hidden="1"/>
    </xf>
    <xf numFmtId="0" fontId="75" fillId="3" borderId="108" xfId="0" applyFont="1" applyFill="1" applyBorder="1" applyAlignment="1" applyProtection="1">
      <alignment horizontal="center" vertical="center" textRotation="90" wrapText="1"/>
      <protection hidden="1"/>
    </xf>
    <xf numFmtId="0" fontId="75" fillId="3" borderId="109" xfId="0" applyFont="1" applyFill="1" applyBorder="1" applyAlignment="1" applyProtection="1">
      <alignment horizontal="center" vertical="center" textRotation="90" wrapText="1"/>
      <protection hidden="1"/>
    </xf>
    <xf numFmtId="0" fontId="75" fillId="3" borderId="136" xfId="0" applyFont="1" applyFill="1" applyBorder="1" applyAlignment="1" applyProtection="1">
      <alignment horizontal="center" vertical="center" textRotation="90" wrapText="1"/>
      <protection hidden="1"/>
    </xf>
    <xf numFmtId="0" fontId="76" fillId="18" borderId="138" xfId="0" applyFont="1" applyFill="1" applyBorder="1" applyAlignment="1" applyProtection="1">
      <alignment horizontal="center" vertical="center"/>
      <protection hidden="1"/>
    </xf>
    <xf numFmtId="0" fontId="76" fillId="18" borderId="131" xfId="0" applyFont="1" applyFill="1" applyBorder="1" applyAlignment="1" applyProtection="1">
      <alignment horizontal="center" vertical="center"/>
      <protection hidden="1"/>
    </xf>
    <xf numFmtId="0" fontId="63" fillId="18" borderId="59" xfId="0" applyFont="1" applyFill="1" applyBorder="1" applyAlignment="1" applyProtection="1">
      <alignment horizontal="center" vertical="center" textRotation="90" wrapText="1"/>
      <protection hidden="1"/>
    </xf>
    <xf numFmtId="0" fontId="63" fillId="18" borderId="130" xfId="0" applyFont="1" applyFill="1" applyBorder="1" applyAlignment="1" applyProtection="1">
      <alignment horizontal="center" vertical="center" textRotation="90" wrapText="1"/>
      <protection hidden="1"/>
    </xf>
    <xf numFmtId="0" fontId="63" fillId="18" borderId="138" xfId="0" applyFont="1" applyFill="1" applyBorder="1" applyAlignment="1" applyProtection="1">
      <alignment horizontal="center" vertical="center" textRotation="90" wrapText="1"/>
      <protection hidden="1"/>
    </xf>
    <xf numFmtId="0" fontId="63" fillId="18" borderId="131" xfId="0" applyFont="1" applyFill="1" applyBorder="1" applyAlignment="1" applyProtection="1">
      <alignment horizontal="center" vertical="center" textRotation="90" wrapText="1"/>
      <protection hidden="1"/>
    </xf>
    <xf numFmtId="0" fontId="76" fillId="18" borderId="137" xfId="0" applyFont="1" applyFill="1" applyBorder="1" applyAlignment="1" applyProtection="1">
      <alignment horizontal="center" vertical="center"/>
      <protection hidden="1"/>
    </xf>
    <xf numFmtId="0" fontId="76" fillId="18" borderId="129" xfId="0" applyFont="1" applyFill="1" applyBorder="1" applyAlignment="1" applyProtection="1">
      <alignment horizontal="center" vertical="center"/>
      <protection hidden="1"/>
    </xf>
    <xf numFmtId="0" fontId="76" fillId="18" borderId="59" xfId="0" applyFont="1" applyFill="1" applyBorder="1" applyAlignment="1" applyProtection="1">
      <alignment horizontal="center" vertical="center"/>
      <protection hidden="1"/>
    </xf>
    <xf numFmtId="0" fontId="76" fillId="18" borderId="130" xfId="0" applyFont="1" applyFill="1" applyBorder="1" applyAlignment="1" applyProtection="1">
      <alignment horizontal="center" vertical="center"/>
      <protection hidden="1"/>
    </xf>
    <xf numFmtId="0" fontId="75" fillId="6" borderId="144" xfId="0" applyFont="1" applyFill="1" applyBorder="1" applyAlignment="1" applyProtection="1">
      <alignment horizontal="center" vertical="center"/>
      <protection hidden="1"/>
    </xf>
    <xf numFmtId="0" fontId="75" fillId="6" borderId="146" xfId="0" applyFont="1" applyFill="1" applyBorder="1" applyAlignment="1" applyProtection="1">
      <alignment horizontal="center" vertical="center"/>
      <protection hidden="1"/>
    </xf>
    <xf numFmtId="0" fontId="63" fillId="18" borderId="137" xfId="0" applyFont="1" applyFill="1" applyBorder="1" applyAlignment="1" applyProtection="1">
      <alignment horizontal="center" vertical="center" textRotation="90"/>
      <protection hidden="1"/>
    </xf>
    <xf numFmtId="0" fontId="63" fillId="18" borderId="129" xfId="0" applyFont="1" applyFill="1" applyBorder="1" applyAlignment="1" applyProtection="1">
      <alignment horizontal="center" vertical="center" textRotation="90"/>
      <protection hidden="1"/>
    </xf>
    <xf numFmtId="0" fontId="75" fillId="3" borderId="134" xfId="0" applyFont="1" applyFill="1" applyBorder="1" applyAlignment="1" applyProtection="1">
      <alignment horizontal="center" vertical="center" textRotation="90" wrapText="1"/>
      <protection hidden="1"/>
    </xf>
    <xf numFmtId="0" fontId="38" fillId="18" borderId="137" xfId="0" applyFont="1" applyFill="1" applyBorder="1" applyAlignment="1" applyProtection="1">
      <alignment horizontal="center" vertical="center" wrapText="1"/>
      <protection hidden="1"/>
    </xf>
    <xf numFmtId="0" fontId="38" fillId="18" borderId="129" xfId="0" applyFont="1" applyFill="1" applyBorder="1" applyAlignment="1" applyProtection="1">
      <alignment horizontal="center" vertical="center" wrapText="1"/>
      <protection hidden="1"/>
    </xf>
    <xf numFmtId="0" fontId="75" fillId="6" borderId="143" xfId="0" applyFont="1" applyFill="1" applyBorder="1" applyAlignment="1" applyProtection="1">
      <alignment horizontal="center" vertical="center"/>
      <protection hidden="1"/>
    </xf>
    <xf numFmtId="0" fontId="75" fillId="6" borderId="145" xfId="0" applyFont="1" applyFill="1" applyBorder="1" applyAlignment="1" applyProtection="1">
      <alignment horizontal="center" vertical="center"/>
      <protection hidden="1"/>
    </xf>
    <xf numFmtId="0" fontId="75" fillId="6" borderId="14" xfId="0" applyFont="1" applyFill="1" applyBorder="1" applyAlignment="1" applyProtection="1">
      <alignment horizontal="center" vertical="center"/>
      <protection hidden="1"/>
    </xf>
    <xf numFmtId="0" fontId="38" fillId="18" borderId="138" xfId="0" applyFont="1" applyFill="1" applyBorder="1" applyAlignment="1" applyProtection="1">
      <alignment horizontal="center" vertical="center" wrapText="1"/>
      <protection hidden="1"/>
    </xf>
    <xf numFmtId="0" fontId="38" fillId="18" borderId="131" xfId="0" applyFont="1" applyFill="1" applyBorder="1" applyAlignment="1" applyProtection="1">
      <alignment horizontal="center" vertical="center" wrapText="1"/>
      <protection hidden="1"/>
    </xf>
    <xf numFmtId="0" fontId="38" fillId="18" borderId="132" xfId="0" applyFont="1" applyFill="1" applyBorder="1" applyAlignment="1" applyProtection="1">
      <alignment horizontal="center" vertical="center" wrapText="1"/>
      <protection hidden="1"/>
    </xf>
    <xf numFmtId="0" fontId="63" fillId="18" borderId="20" xfId="0" applyFont="1" applyFill="1" applyBorder="1" applyAlignment="1" applyProtection="1">
      <alignment horizontal="center" vertical="center" wrapText="1"/>
      <protection hidden="1"/>
    </xf>
    <xf numFmtId="0" fontId="63" fillId="18" borderId="20" xfId="0" applyFont="1" applyFill="1" applyBorder="1" applyAlignment="1" applyProtection="1">
      <alignment horizontal="center" vertical="center"/>
      <protection hidden="1"/>
    </xf>
    <xf numFmtId="0" fontId="38" fillId="18" borderId="59" xfId="0" applyFont="1" applyFill="1" applyBorder="1" applyAlignment="1" applyProtection="1">
      <alignment horizontal="center" vertical="center" wrapText="1"/>
      <protection hidden="1"/>
    </xf>
    <xf numFmtId="0" fontId="38" fillId="18" borderId="130" xfId="0" applyFont="1" applyFill="1" applyBorder="1" applyAlignment="1" applyProtection="1">
      <alignment horizontal="center" vertical="center" wrapText="1"/>
      <protection hidden="1"/>
    </xf>
    <xf numFmtId="0" fontId="75" fillId="6" borderId="142" xfId="0" applyFont="1" applyFill="1" applyBorder="1" applyAlignment="1" applyProtection="1">
      <alignment horizontal="center" vertical="center"/>
      <protection hidden="1"/>
    </xf>
    <xf numFmtId="0" fontId="27" fillId="22" borderId="124" xfId="0" applyFont="1" applyFill="1" applyBorder="1" applyAlignment="1" applyProtection="1">
      <alignment horizontal="center" vertical="center"/>
      <protection hidden="1"/>
    </xf>
    <xf numFmtId="0" fontId="27" fillId="22" borderId="0" xfId="0" applyFont="1" applyFill="1" applyAlignment="1" applyProtection="1">
      <alignment horizontal="center" vertical="center"/>
      <protection hidden="1"/>
    </xf>
    <xf numFmtId="0" fontId="27" fillId="22" borderId="107" xfId="0" applyFont="1" applyFill="1" applyBorder="1" applyAlignment="1" applyProtection="1">
      <alignment horizontal="center" vertical="center"/>
      <protection hidden="1"/>
    </xf>
    <xf numFmtId="0" fontId="27" fillId="22" borderId="125" xfId="0" applyFont="1" applyFill="1" applyBorder="1" applyAlignment="1" applyProtection="1">
      <alignment horizontal="center" vertical="center"/>
      <protection hidden="1"/>
    </xf>
    <xf numFmtId="0" fontId="75" fillId="3" borderId="135" xfId="0" applyFont="1" applyFill="1" applyBorder="1" applyAlignment="1" applyProtection="1">
      <alignment horizontal="center" vertical="center" textRotation="90" wrapText="1"/>
      <protection hidden="1"/>
    </xf>
    <xf numFmtId="0" fontId="37" fillId="4" borderId="43" xfId="0" applyFont="1" applyFill="1" applyBorder="1" applyAlignment="1" applyProtection="1">
      <alignment horizontal="center" vertical="center"/>
      <protection hidden="1"/>
    </xf>
    <xf numFmtId="0" fontId="37" fillId="4" borderId="46" xfId="0" applyFont="1" applyFill="1" applyBorder="1" applyAlignment="1" applyProtection="1">
      <alignment horizontal="center" vertical="center"/>
      <protection hidden="1"/>
    </xf>
    <xf numFmtId="0" fontId="37" fillId="4" borderId="0" xfId="0" applyFont="1" applyFill="1" applyAlignment="1" applyProtection="1">
      <alignment horizontal="center" vertical="center"/>
      <protection hidden="1"/>
    </xf>
    <xf numFmtId="0" fontId="35" fillId="4" borderId="0" xfId="0" applyFont="1" applyFill="1" applyAlignment="1" applyProtection="1">
      <alignment horizontal="center" vertical="center"/>
      <protection hidden="1"/>
    </xf>
    <xf numFmtId="0" fontId="0" fillId="0" borderId="0" xfId="0"/>
    <xf numFmtId="0" fontId="27" fillId="0" borderId="0" xfId="0" applyFont="1" applyAlignment="1" applyProtection="1">
      <alignment horizontal="center" vertical="center"/>
      <protection hidden="1"/>
    </xf>
    <xf numFmtId="0" fontId="37" fillId="4" borderId="42" xfId="0" applyFont="1" applyFill="1" applyBorder="1" applyAlignment="1" applyProtection="1">
      <alignment horizontal="center" vertical="center"/>
      <protection hidden="1"/>
    </xf>
    <xf numFmtId="0" fontId="37" fillId="4" borderId="45" xfId="0" applyFont="1" applyFill="1" applyBorder="1" applyAlignment="1" applyProtection="1">
      <alignment horizontal="center" vertical="center"/>
      <protection hidden="1"/>
    </xf>
    <xf numFmtId="0" fontId="37" fillId="4" borderId="48" xfId="0" applyFont="1" applyFill="1" applyBorder="1" applyAlignment="1" applyProtection="1">
      <alignment horizontal="center" vertical="center"/>
      <protection hidden="1"/>
    </xf>
    <xf numFmtId="0" fontId="37" fillId="4" borderId="49" xfId="0" applyFont="1" applyFill="1" applyBorder="1" applyAlignment="1" applyProtection="1">
      <alignment horizontal="center" vertical="center"/>
      <protection hidden="1"/>
    </xf>
    <xf numFmtId="0" fontId="37" fillId="4" borderId="50" xfId="0" applyFont="1" applyFill="1" applyBorder="1" applyAlignment="1" applyProtection="1">
      <alignment horizontal="center" vertical="center"/>
      <protection hidden="1"/>
    </xf>
    <xf numFmtId="0" fontId="37" fillId="4" borderId="44" xfId="0" applyFont="1" applyFill="1" applyBorder="1" applyAlignment="1" applyProtection="1">
      <alignment horizontal="center" vertical="center"/>
      <protection hidden="1"/>
    </xf>
    <xf numFmtId="0" fontId="37" fillId="4" borderId="47" xfId="0" applyFont="1" applyFill="1" applyBorder="1" applyAlignment="1" applyProtection="1">
      <alignment horizontal="center" vertical="center"/>
      <protection hidden="1"/>
    </xf>
    <xf numFmtId="0" fontId="30" fillId="14" borderId="0" xfId="0" applyFont="1" applyFill="1" applyAlignment="1" applyProtection="1">
      <alignment horizontal="center" vertical="center"/>
      <protection hidden="1"/>
    </xf>
    <xf numFmtId="0" fontId="30" fillId="14" borderId="29" xfId="0" applyFont="1" applyFill="1" applyBorder="1" applyAlignment="1" applyProtection="1">
      <alignment horizontal="center" vertical="center"/>
      <protection hidden="1"/>
    </xf>
    <xf numFmtId="0" fontId="27" fillId="15" borderId="32" xfId="0" applyFont="1" applyFill="1" applyBorder="1" applyAlignment="1" applyProtection="1">
      <alignment horizontal="center" vertical="center"/>
      <protection hidden="1"/>
    </xf>
    <xf numFmtId="0" fontId="27" fillId="15" borderId="36" xfId="0" applyFont="1" applyFill="1" applyBorder="1" applyAlignment="1" applyProtection="1">
      <alignment horizontal="center" vertical="center"/>
      <protection hidden="1"/>
    </xf>
    <xf numFmtId="0" fontId="27" fillId="15" borderId="37" xfId="0" applyFont="1" applyFill="1" applyBorder="1" applyAlignment="1" applyProtection="1">
      <alignment horizontal="center" vertical="center"/>
      <protection hidden="1"/>
    </xf>
    <xf numFmtId="0" fontId="27" fillId="15" borderId="38" xfId="0" applyFont="1" applyFill="1" applyBorder="1" applyAlignment="1" applyProtection="1">
      <alignment horizontal="center" vertical="center"/>
      <protection hidden="1"/>
    </xf>
    <xf numFmtId="0" fontId="47" fillId="9" borderId="155" xfId="0" applyFont="1" applyFill="1" applyBorder="1" applyAlignment="1" applyProtection="1">
      <alignment horizontal="center" vertical="center" wrapText="1"/>
      <protection hidden="1"/>
    </xf>
    <xf numFmtId="0" fontId="47" fillId="9" borderId="0" xfId="0" applyFont="1" applyFill="1" applyAlignment="1" applyProtection="1">
      <alignment horizontal="center" vertical="center" wrapText="1"/>
      <protection hidden="1"/>
    </xf>
    <xf numFmtId="0" fontId="26" fillId="0" borderId="29" xfId="0" applyFont="1" applyBorder="1" applyAlignment="1" applyProtection="1">
      <alignment horizontal="center" vertical="center"/>
      <protection hidden="1"/>
    </xf>
  </cellXfs>
  <cellStyles count="6">
    <cellStyle name="Normal 2" xfId="2" xr:uid="{00000000-0005-0000-0000-000002000000}"/>
    <cellStyle name="Normal 2 2" xfId="3" xr:uid="{00000000-0005-0000-0000-000003000000}"/>
    <cellStyle name="Normal 3" xfId="4" xr:uid="{00000000-0005-0000-0000-000004000000}"/>
    <cellStyle name="Normal_Sheet1" xfId="5" xr:uid="{00000000-0005-0000-0000-000005000000}"/>
    <cellStyle name="ارتباط تشعبي" xfId="1" builtinId="8"/>
    <cellStyle name="عادي" xfId="0" builtinId="0"/>
  </cellStyles>
  <dxfs count="34">
    <dxf>
      <font>
        <color rgb="FF9C0006"/>
      </font>
      <fill>
        <patternFill>
          <bgColor rgb="FFFFC7CE"/>
        </patternFill>
      </fill>
    </dxf>
    <dxf>
      <font>
        <color rgb="FF9C0006"/>
      </font>
      <fill>
        <patternFill>
          <bgColor rgb="FFFFC7CE"/>
        </patternFill>
      </fill>
    </dxf>
    <dxf>
      <font>
        <color rgb="FFFF0000"/>
      </font>
      <fill>
        <patternFill patternType="none">
          <bgColor auto="1"/>
        </patternFill>
      </fill>
    </dxf>
    <dxf>
      <font>
        <color rgb="FF002060"/>
      </font>
      <fill>
        <patternFill patternType="none">
          <bgColor auto="1"/>
        </patternFill>
      </fill>
    </dxf>
    <dxf>
      <font>
        <color rgb="FFFF0000"/>
      </font>
      <fill>
        <patternFill patternType="none">
          <bgColor auto="1"/>
        </patternFill>
      </fill>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fill>
        <patternFill patternType="none">
          <bgColor auto="1"/>
        </patternFill>
      </fill>
      <border>
        <left/>
        <right/>
        <top/>
        <bottom/>
        <vertical/>
        <horizontal/>
      </border>
    </dxf>
    <dxf>
      <font>
        <color theme="0"/>
      </font>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fill>
        <patternFill patternType="none">
          <bgColor auto="1"/>
        </patternFill>
      </fill>
      <border>
        <left/>
        <right/>
        <top/>
        <bottom/>
        <vertical/>
        <horizontal/>
      </border>
    </dxf>
    <dxf>
      <font>
        <color theme="0"/>
      </font>
      <border>
        <left/>
        <right/>
        <top/>
        <bottom/>
        <vertical/>
        <horizontal/>
      </border>
    </dxf>
    <dxf>
      <font>
        <color theme="0"/>
      </font>
      <border>
        <vertical/>
        <horizontal/>
      </border>
    </dxf>
    <dxf>
      <font>
        <color theme="0"/>
      </font>
      <border>
        <left/>
        <right/>
        <top/>
        <bottom/>
        <vertical/>
        <horizontal/>
      </border>
    </dxf>
    <dxf>
      <font>
        <color theme="0"/>
      </font>
      <fill>
        <patternFill patternType="none">
          <bgColor auto="1"/>
        </patternFill>
      </fill>
      <border>
        <left/>
        <right/>
        <top/>
        <bottom/>
        <vertical/>
        <horizontal/>
      </border>
    </dxf>
    <dxf>
      <font>
        <color theme="0"/>
      </font>
      <fill>
        <patternFill>
          <bgColor theme="0"/>
        </patternFill>
      </fill>
    </dxf>
    <dxf>
      <fill>
        <patternFill>
          <bgColor rgb="FFFF0000"/>
        </patternFill>
      </fill>
    </dxf>
    <dxf>
      <font>
        <color rgb="FFFF0000"/>
      </font>
      <fill>
        <patternFill>
          <bgColor rgb="FFFF0000"/>
        </patternFill>
      </fill>
    </dxf>
    <dxf>
      <font>
        <color rgb="FF9C0006"/>
      </font>
      <fill>
        <patternFill>
          <bgColor rgb="FFFFC7CE"/>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FF0000"/>
      </font>
      <fill>
        <patternFill>
          <bgColor rgb="FFFF0000"/>
        </patternFill>
      </fill>
    </dxf>
    <dxf>
      <font>
        <color rgb="FFFF00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693420</xdr:colOff>
      <xdr:row>0</xdr:row>
      <xdr:rowOff>60960</xdr:rowOff>
    </xdr:from>
    <xdr:to>
      <xdr:col>1</xdr:col>
      <xdr:colOff>1264920</xdr:colOff>
      <xdr:row>0</xdr:row>
      <xdr:rowOff>320040</xdr:rowOff>
    </xdr:to>
    <xdr:sp macro="" textlink="">
      <xdr:nvSpPr>
        <xdr:cNvPr id="2" name="سهم: لليسار 1">
          <a:extLst>
            <a:ext uri="{FF2B5EF4-FFF2-40B4-BE49-F238E27FC236}">
              <a16:creationId xmlns:a16="http://schemas.microsoft.com/office/drawing/2014/main" id="{409428C6-9DDA-4DCA-B705-4C106185FFC8}"/>
            </a:ext>
          </a:extLst>
        </xdr:cNvPr>
        <xdr:cNvSpPr/>
      </xdr:nvSpPr>
      <xdr:spPr>
        <a:xfrm>
          <a:off x="10101613020" y="6096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4</xdr:col>
      <xdr:colOff>84668</xdr:colOff>
      <xdr:row>0</xdr:row>
      <xdr:rowOff>76199</xdr:rowOff>
    </xdr:from>
    <xdr:to>
      <xdr:col>4</xdr:col>
      <xdr:colOff>567268</xdr:colOff>
      <xdr:row>0</xdr:row>
      <xdr:rowOff>296332</xdr:rowOff>
    </xdr:to>
    <xdr:sp macro="" textlink="">
      <xdr:nvSpPr>
        <xdr:cNvPr id="5" name="سهم: لليمين 4">
          <a:extLst>
            <a:ext uri="{FF2B5EF4-FFF2-40B4-BE49-F238E27FC236}">
              <a16:creationId xmlns:a16="http://schemas.microsoft.com/office/drawing/2014/main" id="{C11A5129-BED6-C793-77A1-7BB0D93A4ABC}"/>
            </a:ext>
          </a:extLst>
        </xdr:cNvPr>
        <xdr:cNvSpPr/>
      </xdr:nvSpPr>
      <xdr:spPr>
        <a:xfrm>
          <a:off x="11215513932" y="76199"/>
          <a:ext cx="482600" cy="220133"/>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Y"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33</xdr:col>
      <xdr:colOff>19050</xdr:colOff>
      <xdr:row>7</xdr:row>
      <xdr:rowOff>38100</xdr:rowOff>
    </xdr:from>
    <xdr:to>
      <xdr:col>33</xdr:col>
      <xdr:colOff>19050</xdr:colOff>
      <xdr:row>9</xdr:row>
      <xdr:rowOff>238125</xdr:rowOff>
    </xdr:to>
    <xdr:pic>
      <xdr:nvPicPr>
        <xdr:cNvPr id="1030" name="صورة 1">
          <a:extLst>
            <a:ext uri="{FF2B5EF4-FFF2-40B4-BE49-F238E27FC236}">
              <a16:creationId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978650" y="1428750"/>
          <a:ext cx="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23115</xdr:colOff>
      <xdr:row>7</xdr:row>
      <xdr:rowOff>38879</xdr:rowOff>
    </xdr:from>
    <xdr:to>
      <xdr:col>33</xdr:col>
      <xdr:colOff>23115</xdr:colOff>
      <xdr:row>9</xdr:row>
      <xdr:rowOff>233654</xdr:rowOff>
    </xdr:to>
    <xdr:pic>
      <xdr:nvPicPr>
        <xdr:cNvPr id="3" name="صورة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13692710" y="1591454"/>
          <a:ext cx="0" cy="804375"/>
        </a:xfrm>
        <a:prstGeom prst="rect">
          <a:avLst/>
        </a:prstGeom>
      </xdr:spPr>
    </xdr:pic>
    <xdr:clientData/>
  </xdr:twoCellAnchor>
  <xdr:oneCellAnchor>
    <xdr:from>
      <xdr:col>33</xdr:col>
      <xdr:colOff>23115</xdr:colOff>
      <xdr:row>8</xdr:row>
      <xdr:rowOff>38879</xdr:rowOff>
    </xdr:from>
    <xdr:ext cx="0" cy="804375"/>
    <xdr:pic>
      <xdr:nvPicPr>
        <xdr:cNvPr id="4" name="صورة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13692710" y="1886729"/>
          <a:ext cx="0" cy="8043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39</xdr:row>
      <xdr:rowOff>114300</xdr:rowOff>
    </xdr:from>
    <xdr:to>
      <xdr:col>17</xdr:col>
      <xdr:colOff>330093</xdr:colOff>
      <xdr:row>41</xdr:row>
      <xdr:rowOff>213411</xdr:rowOff>
    </xdr:to>
    <xdr:pic>
      <xdr:nvPicPr>
        <xdr:cNvPr id="7" name="صورة 6">
          <a:extLst>
            <a:ext uri="{FF2B5EF4-FFF2-40B4-BE49-F238E27FC236}">
              <a16:creationId xmlns:a16="http://schemas.microsoft.com/office/drawing/2014/main" id="{056B22EC-B7BF-4EE8-A155-48089A2951B9}"/>
            </a:ext>
          </a:extLst>
        </xdr:cNvPr>
        <xdr:cNvPicPr>
          <a:picLocks noChangeAspect="1"/>
        </xdr:cNvPicPr>
      </xdr:nvPicPr>
      <xdr:blipFill>
        <a:blip xmlns:r="http://schemas.openxmlformats.org/officeDocument/2006/relationships" r:embed="rId1" cstate="print"/>
        <a:stretch>
          <a:fillRect/>
        </a:stretch>
      </xdr:blipFill>
      <xdr:spPr>
        <a:xfrm>
          <a:off x="17892713" y="9212580"/>
          <a:ext cx="6590347" cy="5791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D:\AppData\Roaming\hp92\AppData\Roaming\user\&#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20"/>
  <sheetViews>
    <sheetView showGridLines="0" rightToLeft="1" tabSelected="1" workbookViewId="0">
      <selection activeCell="B8" sqref="B8:I12"/>
    </sheetView>
  </sheetViews>
  <sheetFormatPr defaultColWidth="9" defaultRowHeight="16.8" x14ac:dyDescent="0.5"/>
  <cols>
    <col min="1" max="1" width="2.19921875" style="75" customWidth="1"/>
    <col min="2" max="2" width="4.3984375" style="75" customWidth="1"/>
    <col min="3" max="6" width="9" style="75"/>
    <col min="7" max="7" width="1.3984375" style="75" customWidth="1"/>
    <col min="8" max="8" width="12.69921875" style="75" customWidth="1"/>
    <col min="9" max="9" width="16.8984375" style="75" customWidth="1"/>
    <col min="10" max="10" width="5" style="75" customWidth="1"/>
    <col min="11" max="11" width="9" style="75" customWidth="1"/>
    <col min="12" max="12" width="2.69921875" style="75" customWidth="1"/>
    <col min="13" max="13" width="9" style="75"/>
    <col min="14" max="14" width="9" style="75" customWidth="1"/>
    <col min="15" max="15" width="3.3984375" style="75" customWidth="1"/>
    <col min="16" max="17" width="9" style="75"/>
    <col min="18" max="18" width="4.69921875" style="75" customWidth="1"/>
    <col min="19" max="19" width="2" style="75" customWidth="1"/>
    <col min="20" max="20" width="8.8984375" style="75" customWidth="1"/>
    <col min="21" max="21" width="15.3984375" style="75" customWidth="1"/>
    <col min="22" max="16384" width="9" style="75"/>
  </cols>
  <sheetData>
    <row r="1" spans="1:22" ht="27" thickBot="1" x14ac:dyDescent="0.75">
      <c r="B1" s="246" t="s">
        <v>110</v>
      </c>
      <c r="C1" s="246"/>
      <c r="D1" s="246"/>
      <c r="E1" s="246"/>
      <c r="F1" s="246"/>
      <c r="G1" s="246"/>
      <c r="H1" s="246"/>
      <c r="I1" s="246"/>
      <c r="J1" s="246"/>
      <c r="K1" s="246"/>
      <c r="L1" s="246"/>
      <c r="M1" s="246"/>
      <c r="N1" s="246"/>
      <c r="O1" s="246"/>
      <c r="P1" s="246"/>
      <c r="Q1" s="246"/>
      <c r="R1" s="246"/>
      <c r="S1" s="246"/>
      <c r="T1" s="246"/>
      <c r="U1" s="246"/>
    </row>
    <row r="2" spans="1:22" ht="19.5" customHeight="1" thickBot="1" x14ac:dyDescent="0.7">
      <c r="B2" s="247" t="s">
        <v>61</v>
      </c>
      <c r="C2" s="247"/>
      <c r="D2" s="247"/>
      <c r="E2" s="247"/>
      <c r="F2" s="247"/>
      <c r="G2" s="247"/>
      <c r="H2" s="247"/>
      <c r="I2" s="247"/>
      <c r="J2" s="76"/>
      <c r="K2" s="248" t="s">
        <v>111</v>
      </c>
      <c r="L2" s="249"/>
      <c r="M2" s="249"/>
      <c r="N2" s="249"/>
      <c r="O2" s="249"/>
      <c r="P2" s="249"/>
      <c r="Q2" s="249"/>
      <c r="R2" s="249"/>
      <c r="S2" s="249"/>
      <c r="T2" s="252" t="s">
        <v>112</v>
      </c>
      <c r="U2" s="253"/>
    </row>
    <row r="3" spans="1:22" ht="22.5" customHeight="1" thickBot="1" x14ac:dyDescent="0.7">
      <c r="A3" s="77">
        <v>1</v>
      </c>
      <c r="B3" s="256" t="s">
        <v>113</v>
      </c>
      <c r="C3" s="257"/>
      <c r="D3" s="257"/>
      <c r="E3" s="257"/>
      <c r="F3" s="257"/>
      <c r="G3" s="257"/>
      <c r="H3" s="257"/>
      <c r="I3" s="258"/>
      <c r="K3" s="250"/>
      <c r="L3" s="251"/>
      <c r="M3" s="251"/>
      <c r="N3" s="251"/>
      <c r="O3" s="251"/>
      <c r="P3" s="251"/>
      <c r="Q3" s="251"/>
      <c r="R3" s="251"/>
      <c r="S3" s="251"/>
      <c r="T3" s="254"/>
      <c r="U3" s="255"/>
    </row>
    <row r="4" spans="1:22" ht="22.5" customHeight="1" thickBot="1" x14ac:dyDescent="0.7">
      <c r="A4" s="77">
        <v>2</v>
      </c>
      <c r="B4" s="238" t="s">
        <v>114</v>
      </c>
      <c r="C4" s="239"/>
      <c r="D4" s="239"/>
      <c r="E4" s="239"/>
      <c r="F4" s="239"/>
      <c r="G4" s="239"/>
      <c r="H4" s="239"/>
      <c r="I4" s="240"/>
      <c r="K4" s="241" t="s">
        <v>15</v>
      </c>
      <c r="L4" s="242"/>
      <c r="M4" s="242"/>
      <c r="N4" s="242"/>
      <c r="O4" s="242"/>
      <c r="P4" s="242"/>
      <c r="Q4" s="242"/>
      <c r="R4" s="242"/>
      <c r="S4" s="243"/>
      <c r="T4" s="244">
        <v>1</v>
      </c>
      <c r="U4" s="245"/>
    </row>
    <row r="5" spans="1:22" ht="22.5" customHeight="1" thickBot="1" x14ac:dyDescent="0.7">
      <c r="A5" s="77"/>
      <c r="B5" s="259" t="s">
        <v>115</v>
      </c>
      <c r="C5" s="260"/>
      <c r="D5" s="260"/>
      <c r="E5" s="260"/>
      <c r="F5" s="260"/>
      <c r="G5" s="260"/>
      <c r="H5" s="260"/>
      <c r="I5" s="78"/>
      <c r="K5" s="261" t="s">
        <v>116</v>
      </c>
      <c r="L5" s="262"/>
      <c r="M5" s="262"/>
      <c r="N5" s="262"/>
      <c r="O5" s="262"/>
      <c r="P5" s="262"/>
      <c r="Q5" s="262"/>
      <c r="R5" s="262"/>
      <c r="S5" s="262"/>
      <c r="T5" s="244">
        <v>1</v>
      </c>
      <c r="U5" s="245"/>
    </row>
    <row r="6" spans="1:22" ht="22.5" customHeight="1" thickBot="1" x14ac:dyDescent="0.7">
      <c r="A6" s="77"/>
      <c r="B6" s="263" t="s">
        <v>117</v>
      </c>
      <c r="C6" s="264"/>
      <c r="D6" s="264"/>
      <c r="E6" s="264"/>
      <c r="F6" s="264"/>
      <c r="G6" s="264"/>
      <c r="H6" s="264"/>
      <c r="I6" s="265"/>
      <c r="K6" s="261" t="s">
        <v>118</v>
      </c>
      <c r="L6" s="262"/>
      <c r="M6" s="262"/>
      <c r="N6" s="262"/>
      <c r="O6" s="262"/>
      <c r="P6" s="262"/>
      <c r="Q6" s="262"/>
      <c r="R6" s="262"/>
      <c r="S6" s="262"/>
      <c r="T6" s="266" t="s">
        <v>119</v>
      </c>
      <c r="U6" s="267"/>
    </row>
    <row r="7" spans="1:22" ht="22.5" customHeight="1" thickBot="1" x14ac:dyDescent="0.75">
      <c r="A7" s="77">
        <v>3</v>
      </c>
      <c r="B7" s="259" t="s">
        <v>63</v>
      </c>
      <c r="C7" s="260"/>
      <c r="D7" s="260"/>
      <c r="E7" s="260"/>
      <c r="F7" s="260"/>
      <c r="G7" s="260"/>
      <c r="H7" s="268" t="s">
        <v>62</v>
      </c>
      <c r="I7" s="269"/>
      <c r="K7" s="270" t="s">
        <v>120</v>
      </c>
      <c r="L7" s="271"/>
      <c r="M7" s="271"/>
      <c r="N7" s="271"/>
      <c r="O7" s="271"/>
      <c r="P7" s="271"/>
      <c r="Q7" s="271"/>
      <c r="R7" s="271"/>
      <c r="S7" s="272"/>
      <c r="T7" s="273">
        <v>0.5</v>
      </c>
      <c r="U7" s="274"/>
      <c r="V7" s="79"/>
    </row>
    <row r="8" spans="1:22" ht="22.5" customHeight="1" x14ac:dyDescent="0.65">
      <c r="A8" s="77">
        <v>4</v>
      </c>
      <c r="B8" s="275" t="s">
        <v>255</v>
      </c>
      <c r="C8" s="275"/>
      <c r="D8" s="275"/>
      <c r="E8" s="275"/>
      <c r="F8" s="275"/>
      <c r="G8" s="275"/>
      <c r="H8" s="275"/>
      <c r="I8" s="275"/>
      <c r="J8" s="79"/>
      <c r="K8" s="278" t="s">
        <v>121</v>
      </c>
      <c r="L8" s="279"/>
      <c r="M8" s="279"/>
      <c r="N8" s="279"/>
      <c r="O8" s="279"/>
      <c r="P8" s="279"/>
      <c r="Q8" s="279"/>
      <c r="R8" s="279"/>
      <c r="S8" s="279"/>
      <c r="T8" s="280">
        <v>0.2</v>
      </c>
      <c r="U8" s="281"/>
    </row>
    <row r="9" spans="1:22" ht="22.5" customHeight="1" x14ac:dyDescent="0.65">
      <c r="A9" s="77"/>
      <c r="B9" s="276"/>
      <c r="C9" s="276"/>
      <c r="D9" s="276"/>
      <c r="E9" s="276"/>
      <c r="F9" s="276"/>
      <c r="G9" s="276"/>
      <c r="H9" s="276"/>
      <c r="I9" s="276"/>
      <c r="J9" s="80"/>
      <c r="K9" s="278"/>
      <c r="L9" s="279"/>
      <c r="M9" s="279"/>
      <c r="N9" s="279"/>
      <c r="O9" s="279"/>
      <c r="P9" s="279"/>
      <c r="Q9" s="279"/>
      <c r="R9" s="279"/>
      <c r="S9" s="279"/>
      <c r="T9" s="282"/>
      <c r="U9" s="281"/>
    </row>
    <row r="10" spans="1:22" ht="22.5" customHeight="1" x14ac:dyDescent="0.65">
      <c r="A10" s="77"/>
      <c r="B10" s="276"/>
      <c r="C10" s="276"/>
      <c r="D10" s="276"/>
      <c r="E10" s="276"/>
      <c r="F10" s="276"/>
      <c r="G10" s="276"/>
      <c r="H10" s="276"/>
      <c r="I10" s="276"/>
      <c r="K10" s="241" t="s">
        <v>122</v>
      </c>
      <c r="L10" s="242"/>
      <c r="M10" s="242"/>
      <c r="N10" s="242"/>
      <c r="O10" s="242"/>
      <c r="P10" s="242"/>
      <c r="Q10" s="242"/>
      <c r="R10" s="242"/>
      <c r="S10" s="243"/>
      <c r="T10" s="283">
        <v>0.2</v>
      </c>
      <c r="U10" s="284"/>
    </row>
    <row r="11" spans="1:22" ht="45" customHeight="1" x14ac:dyDescent="0.65">
      <c r="A11" s="77"/>
      <c r="B11" s="276"/>
      <c r="C11" s="276"/>
      <c r="D11" s="276"/>
      <c r="E11" s="276"/>
      <c r="F11" s="276"/>
      <c r="G11" s="276"/>
      <c r="H11" s="276"/>
      <c r="I11" s="276"/>
      <c r="K11" s="285" t="s">
        <v>123</v>
      </c>
      <c r="L11" s="286"/>
      <c r="M11" s="286"/>
      <c r="N11" s="286"/>
      <c r="O11" s="286"/>
      <c r="P11" s="286"/>
      <c r="Q11" s="286"/>
      <c r="R11" s="286"/>
      <c r="S11" s="287"/>
      <c r="T11" s="283">
        <v>0.2</v>
      </c>
      <c r="U11" s="284"/>
    </row>
    <row r="12" spans="1:22" ht="22.5" customHeight="1" thickBot="1" x14ac:dyDescent="0.7">
      <c r="A12" s="77"/>
      <c r="B12" s="277"/>
      <c r="C12" s="277"/>
      <c r="D12" s="277"/>
      <c r="E12" s="277"/>
      <c r="F12" s="277"/>
      <c r="G12" s="277"/>
      <c r="H12" s="277"/>
      <c r="I12" s="277"/>
      <c r="K12" s="288" t="s">
        <v>124</v>
      </c>
      <c r="L12" s="289"/>
      <c r="M12" s="289"/>
      <c r="N12" s="289"/>
      <c r="O12" s="289"/>
      <c r="P12" s="289"/>
      <c r="Q12" s="289"/>
      <c r="R12" s="289"/>
      <c r="S12" s="290"/>
      <c r="T12" s="291">
        <v>0.5</v>
      </c>
      <c r="U12" s="292"/>
    </row>
    <row r="13" spans="1:22" ht="22.5" customHeight="1" thickBot="1" x14ac:dyDescent="0.7">
      <c r="A13" s="77">
        <v>5</v>
      </c>
      <c r="B13" s="293" t="s">
        <v>125</v>
      </c>
      <c r="C13" s="294"/>
      <c r="D13" s="294"/>
      <c r="E13" s="294"/>
      <c r="F13" s="294"/>
      <c r="G13" s="294"/>
      <c r="H13" s="294"/>
      <c r="I13" s="295"/>
      <c r="K13" s="296" t="s">
        <v>126</v>
      </c>
      <c r="L13" s="297"/>
      <c r="M13" s="297"/>
      <c r="N13" s="297"/>
      <c r="O13" s="297"/>
      <c r="P13" s="297"/>
      <c r="Q13" s="297"/>
      <c r="R13" s="297"/>
      <c r="S13" s="297"/>
      <c r="T13" s="297"/>
      <c r="U13" s="297"/>
    </row>
    <row r="14" spans="1:22" ht="22.5" customHeight="1" x14ac:dyDescent="0.65">
      <c r="A14" s="77"/>
      <c r="B14" s="298" t="s">
        <v>248</v>
      </c>
      <c r="C14" s="298"/>
      <c r="D14" s="298"/>
      <c r="E14" s="298"/>
      <c r="F14" s="298"/>
      <c r="G14" s="298"/>
      <c r="H14" s="298"/>
      <c r="I14" s="298"/>
      <c r="K14" s="297"/>
      <c r="L14" s="297"/>
      <c r="M14" s="297"/>
      <c r="N14" s="297"/>
      <c r="O14" s="297"/>
      <c r="P14" s="297"/>
      <c r="Q14" s="297"/>
      <c r="R14" s="297"/>
      <c r="S14" s="297"/>
      <c r="T14" s="297"/>
      <c r="U14" s="297"/>
    </row>
    <row r="15" spans="1:22" ht="3.75" customHeight="1" x14ac:dyDescent="0.65">
      <c r="A15" s="77"/>
      <c r="B15" s="299"/>
      <c r="C15" s="299"/>
      <c r="D15" s="299"/>
      <c r="E15" s="299"/>
      <c r="F15" s="299"/>
      <c r="G15" s="299"/>
      <c r="H15" s="299"/>
      <c r="I15" s="299"/>
      <c r="K15" s="301"/>
      <c r="L15" s="301"/>
      <c r="M15" s="301"/>
      <c r="N15" s="301"/>
      <c r="O15" s="301"/>
      <c r="P15" s="301"/>
      <c r="Q15" s="301"/>
      <c r="R15" s="301"/>
      <c r="S15" s="301"/>
      <c r="T15" s="301"/>
      <c r="U15" s="301"/>
    </row>
    <row r="16" spans="1:22" ht="26.25" customHeight="1" x14ac:dyDescent="0.65">
      <c r="A16" s="77">
        <v>6</v>
      </c>
      <c r="B16" s="299"/>
      <c r="C16" s="299"/>
      <c r="D16" s="299"/>
      <c r="E16" s="299"/>
      <c r="F16" s="299"/>
      <c r="G16" s="299"/>
      <c r="H16" s="299"/>
      <c r="I16" s="299"/>
      <c r="K16" s="301"/>
      <c r="L16" s="301"/>
      <c r="M16" s="301"/>
      <c r="N16" s="301"/>
      <c r="O16" s="301"/>
      <c r="P16" s="301"/>
      <c r="Q16" s="301"/>
      <c r="R16" s="301"/>
      <c r="S16" s="301"/>
      <c r="T16" s="301"/>
      <c r="U16" s="301"/>
    </row>
    <row r="17" spans="2:21" ht="19.5" customHeight="1" x14ac:dyDescent="0.5">
      <c r="B17" s="299"/>
      <c r="C17" s="299"/>
      <c r="D17" s="299"/>
      <c r="E17" s="299"/>
      <c r="F17" s="299"/>
      <c r="G17" s="299"/>
      <c r="H17" s="299"/>
      <c r="I17" s="299"/>
      <c r="K17" s="301"/>
      <c r="L17" s="301"/>
      <c r="M17" s="301"/>
      <c r="N17" s="301"/>
      <c r="O17" s="301"/>
      <c r="P17" s="301"/>
      <c r="Q17" s="301"/>
      <c r="R17" s="301"/>
      <c r="S17" s="301"/>
      <c r="T17" s="301"/>
      <c r="U17" s="301"/>
    </row>
    <row r="18" spans="2:21" ht="19.5" customHeight="1" x14ac:dyDescent="0.65">
      <c r="B18" s="299"/>
      <c r="C18" s="299"/>
      <c r="D18" s="299"/>
      <c r="E18" s="299"/>
      <c r="F18" s="299"/>
      <c r="G18" s="299"/>
      <c r="H18" s="299"/>
      <c r="I18" s="299"/>
      <c r="K18" s="81"/>
      <c r="M18" s="301"/>
      <c r="N18" s="301"/>
      <c r="O18" s="301"/>
      <c r="P18" s="82"/>
      <c r="Q18" s="302"/>
      <c r="R18" s="302"/>
      <c r="S18" s="81"/>
      <c r="T18" s="81"/>
      <c r="U18" s="81"/>
    </row>
    <row r="19" spans="2:21" ht="21.75" customHeight="1" thickBot="1" x14ac:dyDescent="0.55000000000000004">
      <c r="B19" s="300"/>
      <c r="C19" s="300"/>
      <c r="D19" s="300"/>
      <c r="E19" s="300"/>
      <c r="F19" s="300"/>
      <c r="G19" s="300"/>
      <c r="H19" s="300"/>
      <c r="I19" s="300"/>
    </row>
    <row r="20" spans="2:21" ht="3.75" customHeight="1" x14ac:dyDescent="0.5"/>
  </sheetData>
  <mergeCells count="33">
    <mergeCell ref="B13:I13"/>
    <mergeCell ref="K13:U14"/>
    <mergeCell ref="B14:I19"/>
    <mergeCell ref="K15:U17"/>
    <mergeCell ref="M18:O18"/>
    <mergeCell ref="Q18:R18"/>
    <mergeCell ref="B7:G7"/>
    <mergeCell ref="H7:I7"/>
    <mergeCell ref="K7:S7"/>
    <mergeCell ref="T7:U7"/>
    <mergeCell ref="B8:I12"/>
    <mergeCell ref="K8:S9"/>
    <mergeCell ref="T8:U9"/>
    <mergeCell ref="K10:S10"/>
    <mergeCell ref="T10:U10"/>
    <mergeCell ref="K11:S11"/>
    <mergeCell ref="T11:U11"/>
    <mergeCell ref="K12:S12"/>
    <mergeCell ref="T12:U12"/>
    <mergeCell ref="B5:H5"/>
    <mergeCell ref="K5:S5"/>
    <mergeCell ref="T5:U5"/>
    <mergeCell ref="B6:I6"/>
    <mergeCell ref="K6:S6"/>
    <mergeCell ref="T6:U6"/>
    <mergeCell ref="B4:I4"/>
    <mergeCell ref="K4:S4"/>
    <mergeCell ref="T4:U4"/>
    <mergeCell ref="B1:U1"/>
    <mergeCell ref="B2:I2"/>
    <mergeCell ref="K2:S3"/>
    <mergeCell ref="T2:U3"/>
    <mergeCell ref="B3:I3"/>
  </mergeCells>
  <hyperlinks>
    <hyperlink ref="B3" r:id="rId1" location="'إدخال البيانات'!D2" display="المخصص" xr:uid="{00000000-0004-0000-0000-000000000000}"/>
    <hyperlink ref="H7" location="الإستمارة!Q1" display="الإستمارة وإطبع منها أربعة نسخ" xr:uid="{00000000-0004-0000-0000-000001000000}"/>
    <hyperlink ref="B3:C3" location="'إدخال البيانات'!D2" display="اضغط هنا" xr:uid="{00000000-0004-0000-0000-000002000000}"/>
    <hyperlink ref="B3:I3" location="'إدخال البيانات'!B2" display="تملئ صفحة إدخال البيانات بالمعلومات المطلوبة وبشكل دقيق وصحيح" xr:uid="{00000000-0004-0000-0000-000003000000}"/>
    <hyperlink ref="B4:I4" location="'اختيار المقررات'!E1" display="الانتقال إلى صفحة اختيار المقررات" xr:uid="{00000000-0004-0000-0000-000004000000}"/>
    <hyperlink ref="H7:I7" location="الإستمارة!Q1" display="الإستمارة وإطبع منها أربعة نسخ" xr:uid="{00000000-0004-0000-0000-000005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S74"/>
  <sheetViews>
    <sheetView showGridLines="0" rightToLeft="1" zoomScale="90" zoomScaleNormal="90" workbookViewId="0">
      <selection activeCell="A9" sqref="A9:G9"/>
    </sheetView>
  </sheetViews>
  <sheetFormatPr defaultColWidth="9" defaultRowHeight="13.8" x14ac:dyDescent="0.25"/>
  <cols>
    <col min="1" max="1" width="13.8984375" style="1" bestFit="1" customWidth="1"/>
    <col min="2" max="2" width="22.19921875" style="1" customWidth="1"/>
    <col min="3" max="3" width="18.8984375" style="1" customWidth="1"/>
    <col min="4" max="4" width="26" style="1" customWidth="1"/>
    <col min="5" max="5" width="24.19921875" style="1" customWidth="1"/>
    <col min="6" max="6" width="20" style="1" customWidth="1"/>
    <col min="7" max="7" width="14.59765625" style="1" customWidth="1"/>
    <col min="8" max="8" width="18.8984375" style="1" hidden="1" customWidth="1"/>
    <col min="9" max="9" width="3.19921875" style="1" hidden="1" customWidth="1"/>
    <col min="10" max="10" width="14.19921875" style="1" hidden="1" customWidth="1"/>
    <col min="11" max="11" width="11" style="1" hidden="1" customWidth="1"/>
    <col min="12" max="12" width="3.19921875" style="1" hidden="1" customWidth="1"/>
    <col min="13" max="13" width="9" style="1" hidden="1" customWidth="1"/>
    <col min="14" max="14" width="20" style="167" hidden="1" customWidth="1"/>
    <col min="15" max="15" width="3" style="167" hidden="1" customWidth="1"/>
    <col min="16" max="16" width="13.69921875" style="1" hidden="1" customWidth="1"/>
    <col min="17" max="18" width="9" style="1" hidden="1" customWidth="1"/>
    <col min="19" max="19" width="2.19921875" style="1" hidden="1" customWidth="1"/>
    <col min="20" max="20" width="5.19921875" style="1" hidden="1" customWidth="1"/>
    <col min="21" max="21" width="2.19921875" style="1" hidden="1" customWidth="1"/>
    <col min="22" max="22" width="3.69921875" style="1" hidden="1" customWidth="1"/>
    <col min="23" max="23" width="2.19921875" style="1" hidden="1" customWidth="1"/>
    <col min="24" max="24" width="10.3984375" style="1" hidden="1" customWidth="1"/>
    <col min="25" max="26" width="0" style="1" hidden="1" customWidth="1"/>
    <col min="27" max="27" width="3.19921875" style="1" hidden="1" customWidth="1"/>
    <col min="28" max="28" width="5.3984375" style="1" hidden="1" customWidth="1"/>
    <col min="29" max="35" width="0" style="1" hidden="1" customWidth="1"/>
    <col min="36" max="16384" width="9" style="1"/>
  </cols>
  <sheetData>
    <row r="1" spans="1:45" ht="25.95" customHeight="1" thickBot="1" x14ac:dyDescent="0.3">
      <c r="A1" s="306" t="s">
        <v>152</v>
      </c>
      <c r="B1" s="306"/>
      <c r="C1" s="237"/>
      <c r="D1" s="236"/>
      <c r="E1" s="235" t="s">
        <v>259</v>
      </c>
      <c r="F1" s="46"/>
    </row>
    <row r="2" spans="1:45" ht="52.95" customHeight="1" x14ac:dyDescent="0.25">
      <c r="A2" s="307"/>
      <c r="B2" s="307"/>
      <c r="C2" s="307"/>
      <c r="D2" s="307"/>
      <c r="E2" s="307"/>
      <c r="F2" s="307"/>
      <c r="G2" s="307"/>
    </row>
    <row r="3" spans="1:45" ht="14.4" thickBot="1" x14ac:dyDescent="0.3">
      <c r="I3" s="305" t="s">
        <v>10</v>
      </c>
      <c r="J3" s="305"/>
      <c r="L3" s="305" t="s">
        <v>56</v>
      </c>
      <c r="M3" s="305"/>
      <c r="N3" s="1"/>
      <c r="O3" s="305"/>
      <c r="P3" s="305"/>
      <c r="S3" s="305" t="s">
        <v>153</v>
      </c>
      <c r="T3" s="305"/>
      <c r="U3" s="305" t="s">
        <v>11</v>
      </c>
      <c r="V3" s="305"/>
      <c r="X3" s="1" t="s">
        <v>9</v>
      </c>
      <c r="AA3" s="1">
        <v>1</v>
      </c>
      <c r="AB3" s="1">
        <v>1950</v>
      </c>
    </row>
    <row r="4" spans="1:45" ht="34.200000000000003" customHeight="1" thickTop="1" x14ac:dyDescent="0.25">
      <c r="A4" s="168" t="s">
        <v>52</v>
      </c>
      <c r="B4" s="168" t="s">
        <v>156</v>
      </c>
      <c r="C4" s="168" t="s">
        <v>87</v>
      </c>
      <c r="D4" s="169" t="s">
        <v>157</v>
      </c>
      <c r="E4" s="169" t="s">
        <v>95</v>
      </c>
      <c r="F4" s="168" t="s">
        <v>55</v>
      </c>
      <c r="G4" s="170" t="s">
        <v>9</v>
      </c>
      <c r="I4" s="92"/>
      <c r="J4" s="92"/>
      <c r="L4" s="92"/>
      <c r="M4" s="92"/>
      <c r="N4" s="1"/>
      <c r="O4" s="92"/>
      <c r="P4" s="92"/>
      <c r="S4" s="92"/>
      <c r="T4" s="92"/>
      <c r="U4" s="92"/>
      <c r="V4" s="92"/>
    </row>
    <row r="5" spans="1:45" ht="34.200000000000003" customHeight="1" thickBot="1" x14ac:dyDescent="0.3">
      <c r="A5" s="171"/>
      <c r="B5" s="172"/>
      <c r="C5" s="172"/>
      <c r="D5" s="171"/>
      <c r="E5" s="171"/>
      <c r="F5" s="172"/>
      <c r="G5" s="173"/>
      <c r="I5" s="92"/>
      <c r="J5" s="92"/>
      <c r="L5" s="92"/>
      <c r="M5" s="92"/>
      <c r="N5" s="1"/>
      <c r="O5" s="92"/>
      <c r="P5" s="92"/>
      <c r="S5" s="92"/>
      <c r="T5" s="92"/>
      <c r="U5" s="92"/>
      <c r="V5" s="92"/>
    </row>
    <row r="6" spans="1:45" ht="34.200000000000003" customHeight="1" thickTop="1" x14ac:dyDescent="0.25">
      <c r="A6" s="174" t="s">
        <v>49</v>
      </c>
      <c r="B6" s="175" t="s">
        <v>50</v>
      </c>
      <c r="C6" s="175" t="s">
        <v>83</v>
      </c>
      <c r="D6" s="175" t="s">
        <v>84</v>
      </c>
      <c r="E6" s="175" t="s">
        <v>85</v>
      </c>
      <c r="F6" s="175" t="s">
        <v>86</v>
      </c>
      <c r="G6" s="170" t="s">
        <v>66</v>
      </c>
      <c r="I6" s="1">
        <v>1</v>
      </c>
      <c r="J6" s="1" t="s">
        <v>107</v>
      </c>
      <c r="L6" s="176" t="s">
        <v>154</v>
      </c>
      <c r="M6" s="1" t="s">
        <v>90</v>
      </c>
      <c r="N6" s="1"/>
      <c r="S6" s="1">
        <v>1</v>
      </c>
      <c r="T6" s="1" t="s">
        <v>91</v>
      </c>
      <c r="U6" s="1">
        <v>1</v>
      </c>
      <c r="V6" s="1" t="s">
        <v>105</v>
      </c>
      <c r="W6" s="1">
        <v>1</v>
      </c>
      <c r="X6" s="1" t="s">
        <v>127</v>
      </c>
      <c r="AA6" s="1">
        <v>2</v>
      </c>
      <c r="AB6" s="1">
        <v>1951</v>
      </c>
    </row>
    <row r="7" spans="1:45" ht="34.200000000000003" customHeight="1" thickBot="1" x14ac:dyDescent="0.3">
      <c r="A7" s="177"/>
      <c r="B7" s="172"/>
      <c r="C7" s="172"/>
      <c r="D7" s="172"/>
      <c r="E7" s="172"/>
      <c r="F7" s="173"/>
      <c r="G7" s="177"/>
      <c r="I7" s="1">
        <v>3</v>
      </c>
      <c r="J7" s="1" t="s">
        <v>174</v>
      </c>
      <c r="L7" s="176" t="s">
        <v>155</v>
      </c>
      <c r="M7" s="1" t="s">
        <v>92</v>
      </c>
      <c r="N7" s="1"/>
      <c r="S7" s="1">
        <v>6</v>
      </c>
      <c r="T7" s="1" t="s">
        <v>143</v>
      </c>
      <c r="W7" s="1">
        <v>3</v>
      </c>
      <c r="X7" s="1" t="s">
        <v>128</v>
      </c>
      <c r="AA7" s="1">
        <v>4</v>
      </c>
      <c r="AB7" s="1">
        <v>1953</v>
      </c>
      <c r="AJ7" s="303"/>
      <c r="AK7" s="303"/>
      <c r="AL7" s="303"/>
      <c r="AM7" s="303"/>
      <c r="AN7" s="303"/>
      <c r="AO7" s="303"/>
      <c r="AP7" s="303"/>
      <c r="AQ7" s="303"/>
      <c r="AR7" s="303"/>
      <c r="AS7" s="303"/>
    </row>
    <row r="8" spans="1:45" ht="34.200000000000003" customHeight="1" thickTop="1" x14ac:dyDescent="0.25">
      <c r="A8" s="178" t="s">
        <v>51</v>
      </c>
      <c r="B8" s="168" t="s">
        <v>6</v>
      </c>
      <c r="C8" s="168" t="s">
        <v>10</v>
      </c>
      <c r="D8" s="170" t="s">
        <v>11</v>
      </c>
      <c r="E8" s="178" t="s">
        <v>98</v>
      </c>
      <c r="F8" s="168" t="s">
        <v>53</v>
      </c>
      <c r="G8" s="170" t="s">
        <v>54</v>
      </c>
      <c r="I8" s="1">
        <v>4</v>
      </c>
      <c r="J8" s="1" t="s">
        <v>108</v>
      </c>
      <c r="L8" s="176" t="s">
        <v>159</v>
      </c>
      <c r="M8" s="1" t="s">
        <v>93</v>
      </c>
      <c r="N8" s="1"/>
      <c r="S8" s="167"/>
      <c r="W8" s="1">
        <v>4</v>
      </c>
      <c r="X8" s="1" t="s">
        <v>130</v>
      </c>
      <c r="AA8" s="1">
        <v>5</v>
      </c>
      <c r="AB8" s="1">
        <v>1954</v>
      </c>
    </row>
    <row r="9" spans="1:45" ht="34.200000000000003" customHeight="1" thickBot="1" x14ac:dyDescent="0.3">
      <c r="A9" s="179"/>
      <c r="B9" s="172"/>
      <c r="C9" s="172"/>
      <c r="D9" s="173"/>
      <c r="E9" s="177"/>
      <c r="F9" s="172"/>
      <c r="G9" s="173"/>
      <c r="I9" s="1">
        <v>6</v>
      </c>
      <c r="J9" s="1" t="s">
        <v>109</v>
      </c>
      <c r="L9" s="176" t="s">
        <v>158</v>
      </c>
      <c r="M9" s="1" t="s">
        <v>94</v>
      </c>
      <c r="N9" s="1"/>
      <c r="W9" s="1">
        <v>6</v>
      </c>
      <c r="X9" s="1" t="s">
        <v>129</v>
      </c>
      <c r="AA9" s="1">
        <v>7</v>
      </c>
      <c r="AB9" s="1">
        <v>1956</v>
      </c>
      <c r="AJ9" s="304"/>
      <c r="AK9" s="303"/>
      <c r="AL9" s="303"/>
      <c r="AM9" s="303"/>
      <c r="AN9" s="303"/>
      <c r="AO9" s="303"/>
      <c r="AP9" s="303"/>
      <c r="AQ9" s="303"/>
      <c r="AR9" s="303"/>
      <c r="AS9" s="303"/>
    </row>
    <row r="10" spans="1:45" ht="23.25" customHeight="1" thickTop="1" x14ac:dyDescent="0.25">
      <c r="I10" s="1">
        <v>7</v>
      </c>
      <c r="J10" s="1" t="s">
        <v>131</v>
      </c>
      <c r="L10" s="176" t="s">
        <v>160</v>
      </c>
      <c r="M10" s="1" t="s">
        <v>97</v>
      </c>
      <c r="N10" s="1"/>
      <c r="W10" s="1">
        <v>7</v>
      </c>
      <c r="X10" s="1" t="s">
        <v>59</v>
      </c>
      <c r="AA10" s="1">
        <v>8</v>
      </c>
      <c r="AB10" s="1">
        <v>1957</v>
      </c>
    </row>
    <row r="11" spans="1:45" ht="33.75" customHeight="1" x14ac:dyDescent="0.25">
      <c r="I11" s="1">
        <v>8</v>
      </c>
      <c r="J11" s="1" t="s">
        <v>162</v>
      </c>
      <c r="L11" s="176" t="s">
        <v>161</v>
      </c>
      <c r="M11" s="1" t="s">
        <v>102</v>
      </c>
      <c r="N11" s="1"/>
      <c r="W11" s="1">
        <v>8</v>
      </c>
      <c r="X11" s="1" t="s">
        <v>60</v>
      </c>
      <c r="AA11" s="1">
        <v>9</v>
      </c>
      <c r="AB11" s="1">
        <v>1958</v>
      </c>
    </row>
    <row r="12" spans="1:45" ht="23.25" customHeight="1" x14ac:dyDescent="0.25">
      <c r="I12" s="1">
        <v>9</v>
      </c>
      <c r="J12" s="1" t="s">
        <v>175</v>
      </c>
      <c r="L12" s="176" t="s">
        <v>163</v>
      </c>
      <c r="M12" s="1" t="s">
        <v>103</v>
      </c>
      <c r="N12" s="1"/>
      <c r="O12" s="1"/>
      <c r="W12" s="1">
        <v>9</v>
      </c>
      <c r="X12" s="1" t="s">
        <v>150</v>
      </c>
      <c r="AA12" s="1">
        <v>10</v>
      </c>
      <c r="AB12" s="1">
        <v>1959</v>
      </c>
    </row>
    <row r="13" spans="1:45" ht="33.75" customHeight="1" x14ac:dyDescent="0.25">
      <c r="I13" s="1">
        <v>10</v>
      </c>
      <c r="J13" s="1" t="s">
        <v>176</v>
      </c>
      <c r="L13" s="176" t="s">
        <v>164</v>
      </c>
      <c r="M13" s="1" t="s">
        <v>96</v>
      </c>
      <c r="N13" s="1"/>
      <c r="O13" s="1"/>
      <c r="AA13" s="1">
        <v>11</v>
      </c>
      <c r="AB13" s="1">
        <v>1960</v>
      </c>
    </row>
    <row r="14" spans="1:45" x14ac:dyDescent="0.25">
      <c r="I14" s="1">
        <v>11</v>
      </c>
      <c r="J14" s="1" t="s">
        <v>177</v>
      </c>
      <c r="L14" s="176" t="s">
        <v>165</v>
      </c>
      <c r="M14" s="1" t="s">
        <v>104</v>
      </c>
      <c r="N14" s="1"/>
      <c r="O14" s="1"/>
      <c r="AA14" s="1">
        <v>12</v>
      </c>
      <c r="AB14" s="1">
        <v>1961</v>
      </c>
    </row>
    <row r="15" spans="1:45" x14ac:dyDescent="0.25">
      <c r="I15" s="1">
        <v>12</v>
      </c>
      <c r="J15" s="1" t="s">
        <v>178</v>
      </c>
      <c r="L15" s="176" t="s">
        <v>166</v>
      </c>
      <c r="M15" s="1" t="s">
        <v>101</v>
      </c>
      <c r="N15" s="1"/>
      <c r="O15" s="1"/>
      <c r="AA15" s="1">
        <v>13</v>
      </c>
      <c r="AB15" s="1">
        <v>1962</v>
      </c>
    </row>
    <row r="16" spans="1:45" x14ac:dyDescent="0.25">
      <c r="I16" s="1">
        <v>13</v>
      </c>
      <c r="J16" s="1" t="s">
        <v>179</v>
      </c>
      <c r="L16" s="176" t="s">
        <v>167</v>
      </c>
      <c r="M16" s="1" t="s">
        <v>99</v>
      </c>
      <c r="N16" s="1"/>
      <c r="O16" s="1"/>
      <c r="AA16" s="1">
        <v>14</v>
      </c>
      <c r="AB16" s="1">
        <v>1963</v>
      </c>
    </row>
    <row r="17" spans="7:28" x14ac:dyDescent="0.25">
      <c r="I17" s="1">
        <v>14</v>
      </c>
      <c r="J17" s="1" t="s">
        <v>180</v>
      </c>
      <c r="L17" s="176" t="s">
        <v>168</v>
      </c>
      <c r="M17" s="1" t="s">
        <v>100</v>
      </c>
      <c r="N17" s="1"/>
      <c r="O17" s="1"/>
      <c r="AA17" s="1">
        <v>15</v>
      </c>
      <c r="AB17" s="1">
        <v>1964</v>
      </c>
    </row>
    <row r="18" spans="7:28" x14ac:dyDescent="0.25">
      <c r="I18" s="1">
        <v>15</v>
      </c>
      <c r="J18" s="1" t="s">
        <v>201</v>
      </c>
      <c r="L18" s="176" t="s">
        <v>169</v>
      </c>
      <c r="M18" s="1" t="s">
        <v>142</v>
      </c>
      <c r="AA18" s="1">
        <v>16</v>
      </c>
      <c r="AB18" s="1">
        <v>1965</v>
      </c>
    </row>
    <row r="19" spans="7:28" x14ac:dyDescent="0.25">
      <c r="I19" s="1">
        <v>16</v>
      </c>
      <c r="J19" s="1" t="s">
        <v>202</v>
      </c>
      <c r="L19" s="176" t="s">
        <v>170</v>
      </c>
      <c r="M19" s="1" t="s">
        <v>171</v>
      </c>
      <c r="AA19" s="1">
        <v>17</v>
      </c>
      <c r="AB19" s="1">
        <v>1966</v>
      </c>
    </row>
    <row r="20" spans="7:28" x14ac:dyDescent="0.25">
      <c r="AA20" s="1">
        <v>18</v>
      </c>
      <c r="AB20" s="1">
        <v>1967</v>
      </c>
    </row>
    <row r="21" spans="7:28" x14ac:dyDescent="0.25">
      <c r="G21" s="46" t="s">
        <v>105</v>
      </c>
      <c r="AA21" s="1">
        <v>19</v>
      </c>
      <c r="AB21" s="1">
        <v>1968</v>
      </c>
    </row>
    <row r="22" spans="7:28" x14ac:dyDescent="0.25">
      <c r="G22" s="46" t="s">
        <v>106</v>
      </c>
      <c r="AA22" s="1">
        <v>20</v>
      </c>
      <c r="AB22" s="1">
        <v>1969</v>
      </c>
    </row>
    <row r="23" spans="7:28" x14ac:dyDescent="0.25">
      <c r="AA23" s="1">
        <v>21</v>
      </c>
      <c r="AB23" s="1">
        <v>1970</v>
      </c>
    </row>
    <row r="24" spans="7:28" x14ac:dyDescent="0.25">
      <c r="AA24" s="1">
        <v>22</v>
      </c>
      <c r="AB24" s="1">
        <v>1971</v>
      </c>
    </row>
    <row r="25" spans="7:28" x14ac:dyDescent="0.25">
      <c r="AA25" s="1">
        <v>23</v>
      </c>
      <c r="AB25" s="1">
        <v>1972</v>
      </c>
    </row>
    <row r="26" spans="7:28" x14ac:dyDescent="0.25">
      <c r="AA26" s="1">
        <v>24</v>
      </c>
      <c r="AB26" s="1">
        <v>1973</v>
      </c>
    </row>
    <row r="27" spans="7:28" x14ac:dyDescent="0.25">
      <c r="AA27" s="1">
        <v>25</v>
      </c>
      <c r="AB27" s="1">
        <v>1974</v>
      </c>
    </row>
    <row r="28" spans="7:28" x14ac:dyDescent="0.25">
      <c r="AA28" s="1">
        <v>26</v>
      </c>
      <c r="AB28" s="1">
        <v>1975</v>
      </c>
    </row>
    <row r="29" spans="7:28" x14ac:dyDescent="0.25">
      <c r="AA29" s="1">
        <v>27</v>
      </c>
      <c r="AB29" s="1">
        <v>1976</v>
      </c>
    </row>
    <row r="30" spans="7:28" x14ac:dyDescent="0.25">
      <c r="AA30" s="1">
        <v>28</v>
      </c>
      <c r="AB30" s="1">
        <v>1977</v>
      </c>
    </row>
    <row r="31" spans="7:28" x14ac:dyDescent="0.25">
      <c r="AA31" s="1">
        <v>29</v>
      </c>
      <c r="AB31" s="1">
        <v>1978</v>
      </c>
    </row>
    <row r="32" spans="7:28" x14ac:dyDescent="0.25">
      <c r="AA32" s="1">
        <v>30</v>
      </c>
      <c r="AB32" s="1">
        <v>1979</v>
      </c>
    </row>
    <row r="33" spans="27:28" x14ac:dyDescent="0.25">
      <c r="AA33" s="1">
        <v>31</v>
      </c>
      <c r="AB33" s="1">
        <v>1980</v>
      </c>
    </row>
    <row r="34" spans="27:28" x14ac:dyDescent="0.25">
      <c r="AA34" s="1">
        <v>32</v>
      </c>
      <c r="AB34" s="1">
        <v>1981</v>
      </c>
    </row>
    <row r="35" spans="27:28" x14ac:dyDescent="0.25">
      <c r="AA35" s="1">
        <v>33</v>
      </c>
      <c r="AB35" s="1">
        <v>1982</v>
      </c>
    </row>
    <row r="36" spans="27:28" x14ac:dyDescent="0.25">
      <c r="AA36" s="1">
        <v>34</v>
      </c>
      <c r="AB36" s="1">
        <v>1983</v>
      </c>
    </row>
    <row r="37" spans="27:28" x14ac:dyDescent="0.25">
      <c r="AA37" s="1">
        <v>35</v>
      </c>
      <c r="AB37" s="1">
        <v>1984</v>
      </c>
    </row>
    <row r="38" spans="27:28" x14ac:dyDescent="0.25">
      <c r="AA38" s="1">
        <v>36</v>
      </c>
      <c r="AB38" s="1">
        <v>1985</v>
      </c>
    </row>
    <row r="39" spans="27:28" x14ac:dyDescent="0.25">
      <c r="AA39" s="1">
        <v>37</v>
      </c>
      <c r="AB39" s="1">
        <v>1986</v>
      </c>
    </row>
    <row r="40" spans="27:28" x14ac:dyDescent="0.25">
      <c r="AA40" s="1">
        <v>38</v>
      </c>
      <c r="AB40" s="1">
        <v>1987</v>
      </c>
    </row>
    <row r="41" spans="27:28" x14ac:dyDescent="0.25">
      <c r="AA41" s="1">
        <v>39</v>
      </c>
      <c r="AB41" s="1">
        <v>1988</v>
      </c>
    </row>
    <row r="42" spans="27:28" x14ac:dyDescent="0.25">
      <c r="AA42" s="1">
        <v>40</v>
      </c>
      <c r="AB42" s="1">
        <v>1989</v>
      </c>
    </row>
    <row r="43" spans="27:28" x14ac:dyDescent="0.25">
      <c r="AA43" s="1">
        <v>41</v>
      </c>
      <c r="AB43" s="1">
        <v>1990</v>
      </c>
    </row>
    <row r="44" spans="27:28" x14ac:dyDescent="0.25">
      <c r="AA44" s="1">
        <v>42</v>
      </c>
      <c r="AB44" s="1">
        <v>1991</v>
      </c>
    </row>
    <row r="45" spans="27:28" x14ac:dyDescent="0.25">
      <c r="AA45" s="1">
        <v>43</v>
      </c>
      <c r="AB45" s="1">
        <v>1992</v>
      </c>
    </row>
    <row r="46" spans="27:28" x14ac:dyDescent="0.25">
      <c r="AA46" s="1">
        <v>44</v>
      </c>
      <c r="AB46" s="1">
        <v>1993</v>
      </c>
    </row>
    <row r="47" spans="27:28" x14ac:dyDescent="0.25">
      <c r="AA47" s="1">
        <v>45</v>
      </c>
      <c r="AB47" s="1">
        <v>1994</v>
      </c>
    </row>
    <row r="48" spans="27:28" x14ac:dyDescent="0.25">
      <c r="AA48" s="1">
        <v>46</v>
      </c>
      <c r="AB48" s="1">
        <v>1995</v>
      </c>
    </row>
    <row r="49" spans="27:28" x14ac:dyDescent="0.25">
      <c r="AA49" s="1">
        <v>47</v>
      </c>
      <c r="AB49" s="1">
        <v>1996</v>
      </c>
    </row>
    <row r="50" spans="27:28" x14ac:dyDescent="0.25">
      <c r="AA50" s="1">
        <v>48</v>
      </c>
      <c r="AB50" s="1">
        <v>1997</v>
      </c>
    </row>
    <row r="51" spans="27:28" x14ac:dyDescent="0.25">
      <c r="AA51" s="1">
        <v>49</v>
      </c>
      <c r="AB51" s="1">
        <v>1998</v>
      </c>
    </row>
    <row r="52" spans="27:28" x14ac:dyDescent="0.25">
      <c r="AA52" s="1">
        <v>50</v>
      </c>
      <c r="AB52" s="1">
        <v>1999</v>
      </c>
    </row>
    <row r="53" spans="27:28" x14ac:dyDescent="0.25">
      <c r="AA53" s="1">
        <v>51</v>
      </c>
      <c r="AB53" s="1">
        <v>2000</v>
      </c>
    </row>
    <row r="54" spans="27:28" x14ac:dyDescent="0.25">
      <c r="AA54" s="1">
        <v>52</v>
      </c>
      <c r="AB54" s="1">
        <v>2001</v>
      </c>
    </row>
    <row r="55" spans="27:28" x14ac:dyDescent="0.25">
      <c r="AA55" s="1">
        <v>53</v>
      </c>
      <c r="AB55" s="1">
        <v>2002</v>
      </c>
    </row>
    <row r="56" spans="27:28" x14ac:dyDescent="0.25">
      <c r="AA56" s="1">
        <v>54</v>
      </c>
      <c r="AB56" s="1">
        <v>2003</v>
      </c>
    </row>
    <row r="57" spans="27:28" x14ac:dyDescent="0.25">
      <c r="AA57" s="1">
        <v>55</v>
      </c>
      <c r="AB57" s="1">
        <v>2004</v>
      </c>
    </row>
    <row r="58" spans="27:28" x14ac:dyDescent="0.25">
      <c r="AA58" s="1">
        <v>56</v>
      </c>
      <c r="AB58" s="1">
        <v>2005</v>
      </c>
    </row>
    <row r="59" spans="27:28" x14ac:dyDescent="0.25">
      <c r="AA59" s="1">
        <v>57</v>
      </c>
      <c r="AB59" s="1">
        <v>2006</v>
      </c>
    </row>
    <row r="60" spans="27:28" x14ac:dyDescent="0.25">
      <c r="AA60" s="1">
        <v>58</v>
      </c>
      <c r="AB60" s="1">
        <v>2007</v>
      </c>
    </row>
    <row r="61" spans="27:28" x14ac:dyDescent="0.25">
      <c r="AA61" s="1">
        <v>59</v>
      </c>
      <c r="AB61" s="1">
        <v>2008</v>
      </c>
    </row>
    <row r="62" spans="27:28" x14ac:dyDescent="0.25">
      <c r="AA62" s="1">
        <v>60</v>
      </c>
      <c r="AB62" s="1">
        <v>2009</v>
      </c>
    </row>
    <row r="63" spans="27:28" x14ac:dyDescent="0.25">
      <c r="AA63" s="1">
        <v>61</v>
      </c>
      <c r="AB63" s="1">
        <v>2010</v>
      </c>
    </row>
    <row r="64" spans="27:28" x14ac:dyDescent="0.25">
      <c r="AA64" s="1">
        <v>62</v>
      </c>
      <c r="AB64" s="1">
        <v>2011</v>
      </c>
    </row>
    <row r="65" spans="27:28" x14ac:dyDescent="0.25">
      <c r="AA65" s="1">
        <v>63</v>
      </c>
      <c r="AB65" s="1">
        <v>2012</v>
      </c>
    </row>
    <row r="66" spans="27:28" x14ac:dyDescent="0.25">
      <c r="AA66" s="1">
        <v>64</v>
      </c>
      <c r="AB66" s="1">
        <v>2013</v>
      </c>
    </row>
    <row r="67" spans="27:28" x14ac:dyDescent="0.25">
      <c r="AA67" s="1">
        <v>65</v>
      </c>
      <c r="AB67" s="1">
        <v>2014</v>
      </c>
    </row>
    <row r="68" spans="27:28" x14ac:dyDescent="0.25">
      <c r="AA68" s="1">
        <v>66</v>
      </c>
      <c r="AB68" s="1">
        <v>2015</v>
      </c>
    </row>
    <row r="69" spans="27:28" x14ac:dyDescent="0.25">
      <c r="AA69" s="1">
        <v>67</v>
      </c>
      <c r="AB69" s="1">
        <v>2016</v>
      </c>
    </row>
    <row r="70" spans="27:28" x14ac:dyDescent="0.25">
      <c r="AA70" s="1">
        <v>68</v>
      </c>
      <c r="AB70" s="1">
        <v>2017</v>
      </c>
    </row>
    <row r="71" spans="27:28" x14ac:dyDescent="0.25">
      <c r="AA71" s="1">
        <v>69</v>
      </c>
      <c r="AB71" s="1">
        <v>2018</v>
      </c>
    </row>
    <row r="72" spans="27:28" x14ac:dyDescent="0.25">
      <c r="AA72" s="1">
        <v>70</v>
      </c>
      <c r="AB72" s="1">
        <v>2019</v>
      </c>
    </row>
    <row r="73" spans="27:28" x14ac:dyDescent="0.25">
      <c r="AA73" s="1">
        <v>71</v>
      </c>
      <c r="AB73" s="1">
        <v>2020</v>
      </c>
    </row>
    <row r="74" spans="27:28" x14ac:dyDescent="0.25">
      <c r="AA74" s="1">
        <v>72</v>
      </c>
      <c r="AB74" s="1">
        <v>2021</v>
      </c>
    </row>
  </sheetData>
  <protectedRanges>
    <protectedRange sqref="C9" name="نطاق1"/>
  </protectedRanges>
  <mergeCells count="9">
    <mergeCell ref="AJ7:AS7"/>
    <mergeCell ref="AJ9:AS9"/>
    <mergeCell ref="I3:J3"/>
    <mergeCell ref="U3:V3"/>
    <mergeCell ref="A1:B1"/>
    <mergeCell ref="L3:M3"/>
    <mergeCell ref="O3:P3"/>
    <mergeCell ref="S3:T3"/>
    <mergeCell ref="A2:G2"/>
  </mergeCells>
  <phoneticPr fontId="42" type="noConversion"/>
  <conditionalFormatting sqref="J3:J19">
    <cfRule type="duplicateValues" dxfId="28" priority="629"/>
  </conditionalFormatting>
  <dataValidations xWindow="588" yWindow="267" count="12">
    <dataValidation type="custom" allowBlank="1" showInputMessage="1" showErrorMessage="1" errorTitle="خطأ" error="الرقم الوطني خطأ في حال لم تكن تحمل الجنسية السورية أو الفلسطينية السورية عليك إدخال رقم جواز السفر أو رقمك القومي في الحقل المخصص" promptTitle="الرقم الوطني" prompt="يجب أن تدخل الرقم الوطني من اليسار إلى اليمين_x000a_في حال لم تكن تحمل الجنسية السورية عليك إدخال رقم جواز سفرك أو رقمك القومي" sqref="A5" xr:uid="{15852195-0006-4172-B85B-AE1947DD883C}">
      <formula1>AND(OR(LEFT(A5,1)="0",LEFT(A5,1)="1",LEFT(A5,1)="9"),LEFT(A5,2)&lt;&gt;"00",LEN(A5)=11)</formula1>
    </dataValidation>
    <dataValidation type="custom" allowBlank="1" showInputMessage="1" showErrorMessage="1" errorTitle="خطأ" error="رقم الهاتف غير صحيح_x000a_يجب كتابة نداء المحافظة ثم رقم الهاتف_x000a_" sqref="D5:E5" xr:uid="{4B16F15B-E337-4FF7-9D69-EE0C6B07F4BB}">
      <formula1>AND(LEFT(D5,1)="0",AND(LEN(D5)&gt;8,LEN(D5)&lt;12))</formula1>
    </dataValidation>
    <dataValidation type="date" allowBlank="1" showInputMessage="1" showErrorMessage="1" promptTitle="يجب أن يكون التاريخ " prompt="يوم / شهر / سنة" sqref="A9" xr:uid="{CDDA457C-D025-4C34-8324-8F8EB6418328}">
      <formula1>18264</formula1>
      <formula2>37986</formula2>
    </dataValidation>
    <dataValidation allowBlank="1" showInputMessage="1" showErrorMessage="1" promptTitle="اسم الأب باللغة الانكليزية" prompt="يجب أن يكون صحيح لأن سيتم إعتماده في جميع الوثائق الجامعية" sqref="D7" xr:uid="{00000000-0002-0000-0100-000008000000}"/>
    <dataValidation allowBlank="1" showInputMessage="1" showErrorMessage="1" promptTitle="اسم الأم باللغة الانكليزية" prompt="يجب أن يكون صحيح لأن سيتم إعتماده في جميع الوثائق الجامعية" sqref="E7" xr:uid="{00000000-0002-0000-0100-000009000000}"/>
    <dataValidation allowBlank="1" showInputMessage="1" showErrorMessage="1" promptTitle="مكان الميلاد باللغة الانكليزية" prompt="يجب أن يكون صحيح لأن سيتم إعتماده في جميع الوثائق الجامعية" sqref="F7" xr:uid="{00000000-0002-0000-0100-00000A000000}"/>
    <dataValidation type="whole" allowBlank="1" showInputMessage="1" showErrorMessage="1" sqref="F9" xr:uid="{EC8C7904-4E2F-457B-AD54-87DB9A510B47}">
      <formula1>1950</formula1>
      <formula2>2021</formula2>
    </dataValidation>
    <dataValidation type="custom" allowBlank="1" showInputMessage="1" showErrorMessage="1" prompt="_x000a_" sqref="A2:G2" xr:uid="{00000000-0002-0000-0100-00000C000000}">
      <formula1>F1="معاقب"</formula1>
    </dataValidation>
    <dataValidation type="list" allowBlank="1" showInputMessage="1" showErrorMessage="1" sqref="D9" xr:uid="{438E65F1-26E0-46C5-9E15-05C2B34D24EC}">
      <formula1>$V$6:$V$7</formula1>
    </dataValidation>
    <dataValidation type="list" allowBlank="1" showInputMessage="1" showErrorMessage="1" sqref="C9" xr:uid="{B04825E8-697A-432B-8E04-372C29C19BF5}">
      <formula1>$J$6:$J$21</formula1>
    </dataValidation>
    <dataValidation type="list" allowBlank="1" showInputMessage="1" showErrorMessage="1" sqref="G9" xr:uid="{2D21A0E7-5CF3-4774-A6FF-0EC9EFC6547A}">
      <formula1>$M$6:$M$20</formula1>
    </dataValidation>
    <dataValidation type="list" allowBlank="1" showInputMessage="1" showErrorMessage="1" sqref="E9" xr:uid="{A121646F-DA64-4FF0-9259-94CB488FCC35}">
      <formula1>$T$6:$T$8</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44" id="{C9ACA561-13C8-43A4-8420-96171E9D6890}">
            <xm:f>'اختيار المقررات'!$E$2="مستنفذ"</xm:f>
            <x14:dxf>
              <font>
                <color rgb="FFFF0000"/>
              </font>
              <fill>
                <patternFill>
                  <bgColor rgb="FFFF0000"/>
                </patternFill>
              </fill>
            </x14:dxf>
          </x14:cfRule>
          <xm:sqref>A2</xm:sqref>
        </x14:conditionalFormatting>
        <x14:conditionalFormatting xmlns:xm="http://schemas.microsoft.com/office/excel/2006/main">
          <x14:cfRule type="expression" priority="38" id="{DBDD1D6B-4236-4AC7-9654-1458EBE94098}">
            <xm:f>'اختيار المقررات'!$E$2:$G$2="معاقب"</xm:f>
            <x14:dxf>
              <font>
                <color rgb="FFFF0000"/>
              </font>
              <fill>
                <patternFill>
                  <bgColor rgb="FFFF0000"/>
                </patternFill>
              </fill>
            </x14:dxf>
          </x14:cfRule>
          <xm:sqref>A2:G2</xm:sqref>
        </x14:conditionalFormatting>
        <x14:conditionalFormatting xmlns:xm="http://schemas.microsoft.com/office/excel/2006/main">
          <x14:cfRule type="expression" priority="39" id="{96ACED6E-203D-432F-91AB-984217317AB2}">
            <xm:f>'اختيار المقررات'!$E$2="مستنفذ"</xm:f>
            <x14:dxf>
              <font>
                <color theme="0"/>
              </font>
              <fill>
                <patternFill patternType="none">
                  <bgColor auto="1"/>
                </patternFill>
              </fill>
              <border>
                <left/>
                <right/>
                <top/>
                <bottom/>
                <vertical/>
                <horizontal/>
              </border>
            </x14:dxf>
          </x14:cfRule>
          <xm:sqref>A4:G4 C7:F7 A8:G8</xm:sqref>
        </x14:conditionalFormatting>
        <x14:conditionalFormatting xmlns:xm="http://schemas.microsoft.com/office/excel/2006/main">
          <x14:cfRule type="expression" priority="1" id="{153C19AC-0D28-4564-AB95-B6CA4677A8F6}">
            <xm:f>'اختيار المقررات'!$E$2="مستنفذ"</xm:f>
            <x14:dxf>
              <font>
                <color theme="0"/>
              </font>
              <fill>
                <patternFill patternType="none">
                  <bgColor auto="1"/>
                </patternFill>
              </fill>
              <border>
                <left/>
                <right/>
                <top/>
                <bottom/>
                <vertical/>
                <horizontal/>
              </border>
            </x14:dxf>
          </x14:cfRule>
          <xm:sqref>A6:G6</xm:sqref>
        </x14:conditionalFormatting>
        <x14:conditionalFormatting xmlns:xm="http://schemas.microsoft.com/office/excel/2006/main">
          <x14:cfRule type="expression" priority="40" id="{A23FFF88-6BBC-48F6-B996-9D9C5A2E1A98}">
            <xm:f>'اختيار المقررات'!$E$2="مستنفذ"</xm:f>
            <x14:dxf>
              <font>
                <color theme="0"/>
              </font>
              <fill>
                <patternFill patternType="none">
                  <bgColor auto="1"/>
                </patternFill>
              </fill>
              <border>
                <left/>
                <right/>
                <top/>
                <bottom/>
                <vertical/>
                <horizontal/>
              </border>
            </x14:dxf>
          </x14:cfRule>
          <xm:sqref>C12:F13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ورقة4"/>
  <dimension ref="A1:BD57"/>
  <sheetViews>
    <sheetView showGridLines="0" rightToLeft="1" topLeftCell="C1" zoomScale="102" zoomScaleNormal="102" workbookViewId="0">
      <selection activeCell="H8" sqref="H8"/>
    </sheetView>
  </sheetViews>
  <sheetFormatPr defaultColWidth="10" defaultRowHeight="14.25" customHeight="1" x14ac:dyDescent="0.25"/>
  <cols>
    <col min="1" max="1" width="3.3984375" hidden="1" customWidth="1"/>
    <col min="2" max="2" width="10.09765625" hidden="1" customWidth="1"/>
    <col min="3" max="3" width="5.3984375" customWidth="1"/>
    <col min="4" max="7" width="6" customWidth="1"/>
    <col min="8" max="9" width="5.3984375" customWidth="1"/>
    <col min="10" max="10" width="3.8984375" hidden="1" customWidth="1"/>
    <col min="11" max="11" width="3.59765625" hidden="1" customWidth="1"/>
    <col min="12" max="12" width="7.3984375" customWidth="1"/>
    <col min="13" max="15" width="10" customWidth="1"/>
    <col min="16" max="16" width="5.3984375" customWidth="1"/>
    <col min="17" max="17" width="4.8984375" customWidth="1"/>
    <col min="18" max="18" width="0.3984375" customWidth="1"/>
    <col min="19" max="19" width="4.5" hidden="1" customWidth="1"/>
    <col min="20" max="20" width="7.3984375" customWidth="1"/>
    <col min="21" max="22" width="5.3984375" customWidth="1"/>
    <col min="23" max="23" width="15.69921875" customWidth="1"/>
    <col min="24" max="25" width="5.3984375" customWidth="1"/>
    <col min="26" max="26" width="0.8984375" customWidth="1"/>
    <col min="27" max="27" width="5" hidden="1" customWidth="1"/>
    <col min="28" max="28" width="7.3984375" customWidth="1"/>
    <col min="29" max="29" width="12.19921875" customWidth="1"/>
    <col min="30" max="30" width="10.19921875" customWidth="1"/>
    <col min="31" max="31" width="3.8984375" customWidth="1"/>
    <col min="32" max="33" width="4.8984375" customWidth="1"/>
    <col min="34" max="34" width="5" bestFit="1" customWidth="1"/>
    <col min="35" max="35" width="3.8984375" customWidth="1"/>
    <col min="47" max="48" width="10" style="53"/>
    <col min="49" max="49" width="10" style="57"/>
    <col min="50" max="54" width="10" style="53"/>
  </cols>
  <sheetData>
    <row r="1" spans="1:56" s="65" customFormat="1" ht="21" customHeight="1" thickBot="1" x14ac:dyDescent="0.3">
      <c r="B1" s="121"/>
      <c r="C1" s="380" t="s">
        <v>2</v>
      </c>
      <c r="D1" s="380"/>
      <c r="E1" s="400">
        <f>'إدخال البيانات'!C1</f>
        <v>0</v>
      </c>
      <c r="F1" s="401"/>
      <c r="G1" s="401"/>
      <c r="H1" s="380" t="s">
        <v>3</v>
      </c>
      <c r="I1" s="380"/>
      <c r="J1" s="380"/>
      <c r="K1" s="106"/>
      <c r="L1" s="402">
        <f>'إدخال البيانات'!D1</f>
        <v>0</v>
      </c>
      <c r="M1" s="402"/>
      <c r="N1" s="402"/>
      <c r="O1" s="368" t="s">
        <v>4</v>
      </c>
      <c r="P1" s="368"/>
      <c r="Q1" s="369">
        <f>'إدخال البيانات'!A7</f>
        <v>0</v>
      </c>
      <c r="R1" s="369"/>
      <c r="S1" s="369"/>
      <c r="T1" s="369"/>
      <c r="U1" s="368" t="s">
        <v>5</v>
      </c>
      <c r="V1" s="368"/>
      <c r="W1" s="120">
        <f>'إدخال البيانات'!B7</f>
        <v>0</v>
      </c>
      <c r="X1" s="368" t="s">
        <v>51</v>
      </c>
      <c r="Y1" s="368"/>
      <c r="Z1" s="368"/>
      <c r="AA1" s="107"/>
      <c r="AB1" s="405">
        <f>'إدخال البيانات'!A9</f>
        <v>0</v>
      </c>
      <c r="AC1" s="405"/>
      <c r="AD1" s="119" t="s">
        <v>6</v>
      </c>
      <c r="AE1" s="407">
        <f>'إدخال البيانات'!B9</f>
        <v>0</v>
      </c>
      <c r="AF1" s="407"/>
      <c r="AG1" s="407"/>
      <c r="AH1" s="404"/>
      <c r="AI1" s="404"/>
      <c r="AJ1"/>
      <c r="AK1" s="86"/>
      <c r="AL1" s="64"/>
      <c r="AO1" s="65" t="s">
        <v>72</v>
      </c>
      <c r="AV1" s="66"/>
      <c r="AW1" s="66"/>
      <c r="AX1" s="66"/>
      <c r="AY1" s="66"/>
      <c r="AZ1" s="66"/>
      <c r="BA1" s="66"/>
      <c r="BB1" s="66"/>
      <c r="BC1" s="66"/>
    </row>
    <row r="2" spans="1:56" s="67" customFormat="1" ht="21" customHeight="1" thickTop="1" x14ac:dyDescent="0.25">
      <c r="B2" s="121"/>
      <c r="C2" s="380" t="s">
        <v>9</v>
      </c>
      <c r="D2" s="380"/>
      <c r="E2" s="369">
        <f>'إدخال البيانات'!G5</f>
        <v>0</v>
      </c>
      <c r="F2" s="369"/>
      <c r="G2" s="369"/>
      <c r="H2" s="381"/>
      <c r="I2" s="381"/>
      <c r="J2" s="381"/>
      <c r="K2" s="116"/>
      <c r="L2" s="369">
        <f>'إدخال البيانات'!C7</f>
        <v>0</v>
      </c>
      <c r="M2" s="369"/>
      <c r="N2" s="369"/>
      <c r="O2" s="368" t="s">
        <v>83</v>
      </c>
      <c r="P2" s="368"/>
      <c r="Q2" s="369">
        <f>'إدخال البيانات'!D7</f>
        <v>0</v>
      </c>
      <c r="R2" s="369"/>
      <c r="S2" s="369"/>
      <c r="T2" s="369"/>
      <c r="U2" s="368" t="s">
        <v>84</v>
      </c>
      <c r="V2" s="368"/>
      <c r="W2" s="120">
        <f>'إدخال البيانات'!E7</f>
        <v>0</v>
      </c>
      <c r="X2" s="368" t="s">
        <v>85</v>
      </c>
      <c r="Y2" s="368"/>
      <c r="Z2" s="368"/>
      <c r="AA2" s="108"/>
      <c r="AB2" s="405">
        <f>'إدخال البيانات'!F7</f>
        <v>0</v>
      </c>
      <c r="AC2" s="405"/>
      <c r="AD2" s="119" t="s">
        <v>86</v>
      </c>
      <c r="AE2" s="403"/>
      <c r="AF2" s="403"/>
      <c r="AG2" s="403"/>
      <c r="AH2" s="404"/>
      <c r="AI2" s="404"/>
      <c r="AJ2"/>
      <c r="AK2" s="86">
        <f>الإستمارة!AJ1</f>
        <v>0</v>
      </c>
      <c r="AO2" s="67" t="s">
        <v>73</v>
      </c>
      <c r="AV2" s="66"/>
      <c r="AW2" s="66"/>
      <c r="AX2" s="66"/>
      <c r="AY2" s="66"/>
      <c r="AZ2" s="66"/>
      <c r="BA2" s="66"/>
      <c r="BB2" s="66"/>
      <c r="BC2" s="66"/>
    </row>
    <row r="3" spans="1:56" s="67" customFormat="1" ht="21" customHeight="1" x14ac:dyDescent="0.25">
      <c r="B3" s="380" t="s">
        <v>11</v>
      </c>
      <c r="C3" s="380"/>
      <c r="D3" s="380"/>
      <c r="E3" s="379">
        <f>'إدخال البيانات'!D9</f>
        <v>0</v>
      </c>
      <c r="F3" s="379"/>
      <c r="G3" s="379"/>
      <c r="H3" s="380" t="s">
        <v>10</v>
      </c>
      <c r="I3" s="380"/>
      <c r="J3" s="380"/>
      <c r="K3" s="109"/>
      <c r="L3" s="379">
        <f>'إدخال البيانات'!C9</f>
        <v>0</v>
      </c>
      <c r="M3" s="379"/>
      <c r="N3" s="379"/>
      <c r="O3" s="368" t="s">
        <v>52</v>
      </c>
      <c r="P3" s="368"/>
      <c r="Q3" s="378">
        <f>'إدخال البيانات'!A5</f>
        <v>0</v>
      </c>
      <c r="R3" s="369"/>
      <c r="S3" s="369"/>
      <c r="T3" s="369"/>
      <c r="U3" s="368" t="s">
        <v>16</v>
      </c>
      <c r="V3" s="368"/>
      <c r="W3" s="123" t="str">
        <f>IFERROR(IF(L3&lt;&gt;'إدخال البيانات'!J6,'إدخال البيانات'!M19,VLOOKUP(LEFT('إدخال البيانات'!A5,2),'إدخال البيانات'!L6:M19,2,0)),"")</f>
        <v>غير سوري</v>
      </c>
      <c r="X3" s="368" t="s">
        <v>87</v>
      </c>
      <c r="Y3" s="368"/>
      <c r="Z3" s="368"/>
      <c r="AA3" s="110"/>
      <c r="AB3" s="408">
        <f>'إدخال البيانات'!C5</f>
        <v>0</v>
      </c>
      <c r="AC3" s="408"/>
      <c r="AD3" s="119" t="s">
        <v>66</v>
      </c>
      <c r="AE3" s="352">
        <f>'إدخال البيانات'!G7</f>
        <v>0</v>
      </c>
      <c r="AF3" s="352"/>
      <c r="AG3" s="352"/>
      <c r="AH3" s="406"/>
      <c r="AI3" s="406"/>
      <c r="AJ3"/>
      <c r="AK3" s="86"/>
      <c r="AL3" s="64"/>
      <c r="AO3" s="67" t="s">
        <v>45</v>
      </c>
      <c r="AV3" s="66"/>
      <c r="AW3" s="66"/>
      <c r="AX3" s="66"/>
      <c r="AY3" s="66"/>
      <c r="AZ3" s="66"/>
      <c r="BA3" s="66"/>
      <c r="BB3" s="66"/>
      <c r="BC3" s="66"/>
    </row>
    <row r="4" spans="1:56" s="67" customFormat="1" ht="21" customHeight="1" thickBot="1" x14ac:dyDescent="0.3">
      <c r="B4" s="121"/>
      <c r="C4" s="380" t="s">
        <v>12</v>
      </c>
      <c r="D4" s="380"/>
      <c r="E4" s="379">
        <f>'إدخال البيانات'!E9</f>
        <v>0</v>
      </c>
      <c r="F4" s="379"/>
      <c r="G4" s="379"/>
      <c r="H4" s="380" t="s">
        <v>13</v>
      </c>
      <c r="I4" s="380"/>
      <c r="J4" s="380"/>
      <c r="K4" s="111"/>
      <c r="L4" s="369">
        <f>'إدخال البيانات'!F9</f>
        <v>0</v>
      </c>
      <c r="M4" s="369"/>
      <c r="N4" s="369"/>
      <c r="O4" s="368" t="s">
        <v>14</v>
      </c>
      <c r="P4" s="368"/>
      <c r="Q4" s="369">
        <f>'إدخال البيانات'!G9</f>
        <v>0</v>
      </c>
      <c r="R4" s="369"/>
      <c r="S4" s="369"/>
      <c r="T4" s="369"/>
      <c r="U4" s="368" t="s">
        <v>64</v>
      </c>
      <c r="V4" s="368"/>
      <c r="W4" s="112">
        <f>'إدخال البيانات'!E5</f>
        <v>0</v>
      </c>
      <c r="X4" s="368" t="s">
        <v>65</v>
      </c>
      <c r="Y4" s="368"/>
      <c r="Z4" s="368"/>
      <c r="AA4" s="110"/>
      <c r="AB4" s="378">
        <f>'إدخال البيانات'!D5</f>
        <v>0</v>
      </c>
      <c r="AC4" s="378"/>
      <c r="AD4" s="119" t="s">
        <v>55</v>
      </c>
      <c r="AE4" s="352">
        <f>'إدخال البيانات'!F5</f>
        <v>0</v>
      </c>
      <c r="AF4" s="352"/>
      <c r="AG4" s="352"/>
      <c r="AH4" s="352"/>
      <c r="AI4" s="352"/>
      <c r="AJ4"/>
      <c r="AK4" s="86"/>
      <c r="AM4" s="65"/>
      <c r="AO4" s="60" t="s">
        <v>57</v>
      </c>
      <c r="AV4" s="66"/>
      <c r="AW4" s="66"/>
      <c r="AX4" s="66"/>
      <c r="AY4" s="66"/>
      <c r="AZ4" s="66"/>
      <c r="BA4" s="66"/>
      <c r="BB4" s="66"/>
      <c r="BC4" s="66" t="s">
        <v>88</v>
      </c>
    </row>
    <row r="5" spans="1:56" s="67" customFormat="1" ht="21" customHeight="1" thickTop="1" thickBot="1" x14ac:dyDescent="0.3">
      <c r="B5" s="110"/>
      <c r="C5" s="377" t="s">
        <v>71</v>
      </c>
      <c r="D5" s="377"/>
      <c r="E5" s="377"/>
      <c r="F5" s="367"/>
      <c r="G5" s="367"/>
      <c r="H5" s="367"/>
      <c r="I5" s="367"/>
      <c r="J5" s="367"/>
      <c r="K5" s="367"/>
      <c r="L5" s="367"/>
      <c r="M5" s="367"/>
      <c r="N5" s="367"/>
      <c r="O5" s="368" t="s">
        <v>172</v>
      </c>
      <c r="P5" s="368"/>
      <c r="Q5" s="369">
        <v>0</v>
      </c>
      <c r="R5" s="369"/>
      <c r="S5" s="369"/>
      <c r="T5" s="369"/>
      <c r="U5" s="368" t="s">
        <v>0</v>
      </c>
      <c r="V5" s="368"/>
      <c r="W5" s="113">
        <v>0</v>
      </c>
      <c r="X5" s="368" t="s">
        <v>173</v>
      </c>
      <c r="Y5" s="368"/>
      <c r="Z5" s="368"/>
      <c r="AA5" s="110"/>
      <c r="AB5" s="376">
        <v>0</v>
      </c>
      <c r="AC5" s="376"/>
      <c r="AD5" s="114"/>
      <c r="AE5" s="115"/>
      <c r="AF5" s="115"/>
      <c r="AG5" s="115"/>
      <c r="AH5" s="114"/>
      <c r="AI5" s="114"/>
      <c r="AJ5"/>
      <c r="AK5" s="86"/>
      <c r="AL5" s="68"/>
      <c r="AO5" s="67" t="s">
        <v>135</v>
      </c>
      <c r="AU5" s="67">
        <v>1</v>
      </c>
      <c r="AV5" s="54">
        <f t="shared" ref="AV5:AW9" si="0">C8</f>
        <v>100</v>
      </c>
      <c r="AW5" s="69" t="str">
        <f t="shared" si="0"/>
        <v>مقدمة في الصحافة</v>
      </c>
      <c r="AX5" s="52">
        <f t="shared" ref="AX5:AY9" si="1">H8</f>
        <v>0</v>
      </c>
      <c r="AY5" s="52">
        <f t="shared" si="1"/>
        <v>0</v>
      </c>
      <c r="AZ5" s="70"/>
      <c r="BA5" s="55"/>
      <c r="BC5" s="67" t="s">
        <v>89</v>
      </c>
    </row>
    <row r="6" spans="1:56" ht="43.5" customHeight="1" thickBot="1" x14ac:dyDescent="0.3">
      <c r="B6" s="361" t="str">
        <f>IF(E2="مستنفذ","استنفذت فرص التسجيل في برنامج الاعلام بسبب رسوبك لمدة ثلاث سنوات متتالية","مقررات السنة الأولى")</f>
        <v>مقررات السنة الأولى</v>
      </c>
      <c r="C6" s="362"/>
      <c r="D6" s="362"/>
      <c r="E6" s="362"/>
      <c r="F6" s="362"/>
      <c r="G6" s="362"/>
      <c r="H6" s="362"/>
      <c r="I6" s="362"/>
      <c r="J6" s="362"/>
      <c r="K6" s="362"/>
      <c r="L6" s="362"/>
      <c r="M6" s="362"/>
      <c r="N6" s="362"/>
      <c r="O6" s="362"/>
      <c r="P6" s="362"/>
      <c r="Q6" s="363"/>
      <c r="R6" s="49"/>
      <c r="S6" s="124"/>
      <c r="T6" s="373" t="str">
        <f>IF(E1&lt;&gt;"","مقررات السنة الثالثة","لايحق لك تعديل الاستمارة بعد ارسال الايميل تحت طائلة إلغاء التسجيل")</f>
        <v>مقررات السنة الثالثة</v>
      </c>
      <c r="U6" s="374"/>
      <c r="V6" s="374"/>
      <c r="W6" s="374"/>
      <c r="X6" s="374"/>
      <c r="Y6" s="374"/>
      <c r="Z6" s="374"/>
      <c r="AA6" s="374"/>
      <c r="AB6" s="374"/>
      <c r="AC6" s="374"/>
      <c r="AD6" s="374"/>
      <c r="AE6" s="374"/>
      <c r="AF6" s="374"/>
      <c r="AG6" s="374"/>
      <c r="AH6" s="83"/>
      <c r="AI6" s="83"/>
      <c r="AJ6" s="83"/>
      <c r="AK6" s="84"/>
      <c r="AL6" s="39"/>
      <c r="AO6" s="67" t="s">
        <v>136</v>
      </c>
      <c r="AU6" s="54">
        <v>2</v>
      </c>
      <c r="AV6" s="54">
        <f t="shared" si="0"/>
        <v>110</v>
      </c>
      <c r="AW6" s="69" t="str">
        <f t="shared" si="0"/>
        <v xml:space="preserve">مقدمة في الفنون  الاذاعية والسمعبصرية </v>
      </c>
      <c r="AX6" s="52">
        <f t="shared" si="1"/>
        <v>0</v>
      </c>
      <c r="AY6" s="52">
        <f t="shared" si="1"/>
        <v>0</v>
      </c>
      <c r="BB6" s="54"/>
      <c r="BC6" s="54"/>
      <c r="BD6" s="54"/>
    </row>
    <row r="7" spans="1:56" ht="23.25" customHeight="1" thickBot="1" x14ac:dyDescent="0.3">
      <c r="B7" s="364" t="s">
        <v>17</v>
      </c>
      <c r="C7" s="364"/>
      <c r="D7" s="364"/>
      <c r="E7" s="364"/>
      <c r="F7" s="364"/>
      <c r="G7" s="364"/>
      <c r="H7" s="364"/>
      <c r="I7" s="365"/>
      <c r="J7" s="89"/>
      <c r="K7" s="122"/>
      <c r="L7" s="366" t="s">
        <v>18</v>
      </c>
      <c r="M7" s="364"/>
      <c r="N7" s="364"/>
      <c r="O7" s="364"/>
      <c r="P7" s="364"/>
      <c r="Q7" s="365"/>
      <c r="R7" s="41"/>
      <c r="S7" s="30"/>
      <c r="T7" s="370" t="s">
        <v>19</v>
      </c>
      <c r="U7" s="371"/>
      <c r="V7" s="371"/>
      <c r="W7" s="371"/>
      <c r="X7" s="371"/>
      <c r="Y7" s="372"/>
      <c r="Z7" s="87"/>
      <c r="AA7" s="31"/>
      <c r="AB7" s="370" t="s">
        <v>18</v>
      </c>
      <c r="AC7" s="371"/>
      <c r="AD7" s="371"/>
      <c r="AE7" s="371"/>
      <c r="AF7" s="371"/>
      <c r="AG7" s="372"/>
      <c r="AH7" s="83"/>
      <c r="AI7" s="83"/>
      <c r="AJ7" s="83"/>
      <c r="AK7" s="84"/>
      <c r="AL7" s="40"/>
      <c r="AO7" s="67" t="s">
        <v>74</v>
      </c>
      <c r="AU7" s="54">
        <v>3</v>
      </c>
      <c r="AV7" s="54">
        <f t="shared" si="0"/>
        <v>120</v>
      </c>
      <c r="AW7" s="69" t="str">
        <f t="shared" si="0"/>
        <v xml:space="preserve">مقدمة في الاعلان </v>
      </c>
      <c r="AX7" s="52">
        <f t="shared" si="1"/>
        <v>0</v>
      </c>
      <c r="AY7" s="52">
        <f t="shared" si="1"/>
        <v>0</v>
      </c>
      <c r="BB7" s="54"/>
      <c r="BC7" s="54"/>
      <c r="BD7" s="54"/>
    </row>
    <row r="8" spans="1:56" ht="24" customHeight="1" thickBot="1" x14ac:dyDescent="0.35">
      <c r="A8" t="str">
        <f>IF(AND(I8&lt;&gt;"",H8=1),1,"")</f>
        <v/>
      </c>
      <c r="B8" s="117" t="b">
        <f>IF(AND(I8="A",H8=1),50000,IF(OR(I8="ج",I8="ر1",I8="ر2"),IF(H8=1,IF(OR($F$5=$AO$8,$F$5=$AO$9),0,IF(OR($F$5=$AO$1,$F$5=$AO$2,$F$5=$AO$5,$F$5=$AO$6),IF(I8="ج",20000,IF(I8="ر1",28000,IF(I8="ر2",36000,""))),IF(OR($F$5=$AO$3,$F$5=$AO$7),IF(I8="ج",12500,IF(I8="ر1",17500,IF(I8="ر2",22500,""))),IF($F$5=$AO$4,500,IF(I8="ج",25000,IF(I8="ر1",35000,IF(I8="ر2",45000,""))))))))))</f>
        <v>0</v>
      </c>
      <c r="C8" s="127">
        <v>100</v>
      </c>
      <c r="D8" s="351" t="s">
        <v>203</v>
      </c>
      <c r="E8" s="351"/>
      <c r="F8" s="351"/>
      <c r="G8" s="351"/>
      <c r="H8" s="234"/>
      <c r="I8" s="233"/>
      <c r="J8" s="88" t="str">
        <f>IF(AND(Q8&lt;&gt;"",P8=1),6,"")</f>
        <v/>
      </c>
      <c r="K8" s="117" t="b">
        <f>IF(AND(Q8="A",P8=1),50000,IF(OR(Q8="ج",Q8="ر1",Q8="ر2"),IF(P8=1,IF(OR($F$5=$AO$8,$F$5=$AO$9),0,IF(OR($F$5=$AO$1,$F$5=$AO$2,$F$5=$AO$5,$F$5=$AO$6),IF(Q8="ج",20000,IF(Q8="ر1",28000,IF(Q8="ر2",36000,""))),IF(OR($F$5=$AO$3,$F$5=$AO$7),IF(Q8="ج",12500,IF(Q8="ر1",17500,IF(Q8="ر2",22500,""))),IF($F$5=$AO$4,500,IF(Q8="ج",25000,IF(Q8="ر1",35000,IF(Q8="ر2",45000,""))))))))))</f>
        <v>0</v>
      </c>
      <c r="L8" s="127">
        <v>150</v>
      </c>
      <c r="M8" s="351" t="s">
        <v>208</v>
      </c>
      <c r="N8" s="351"/>
      <c r="O8" s="351"/>
      <c r="P8" s="234"/>
      <c r="Q8" s="233"/>
      <c r="R8" s="59" t="str">
        <f>IF(AND(Y8&lt;&gt;"",X8=1),21,"")</f>
        <v/>
      </c>
      <c r="S8" s="117" t="b">
        <f>IF(AND(Y8="A",X8=1),50000,IF(OR(Y8="ج",Y8="ر1",Y8="ر2"),IF(X8=1,IF(OR($F$5=$AO$8,$F$5=$AO$9),0,IF(OR($F$5=$AO$1,$F$5=$AO$2,$F$5=$AO$5,$F$5=$AO$6),IF(Y8="ج",20000,IF(Y8="ر1",28000,IF(Y8="ر2",36000,""))),IF(OR($F$5=$AO$3,$F$5=$AO$7),IF(Y8="ج",12500,IF(Y8="ر1",17500,IF(Y8="ر2",22500,""))),IF($F$5=$AO$4,500,IF(Y8="ج",25000,IF(Y8="ر1",35000,IF(Y8="ر2",45000,""))))))))))</f>
        <v>0</v>
      </c>
      <c r="T8" s="127">
        <v>300</v>
      </c>
      <c r="U8" s="348" t="s">
        <v>213</v>
      </c>
      <c r="V8" s="349"/>
      <c r="W8" s="350"/>
      <c r="X8" s="234"/>
      <c r="Y8" s="233"/>
      <c r="Z8" s="90" t="str">
        <f>IF(AND(AG8&lt;&gt;"",AF8=1),26,"")</f>
        <v/>
      </c>
      <c r="AA8" s="117" t="b">
        <f>IF(AND(AG8="A",AF8=1),50000,IF(OR(AG8="ج",AG8="ر1",AG8="ر2"),IF(AF8=1,IF(OR($F$5=$AO$8,$F$5=$AO$9),0,IF(OR($F$5=$AO$1,$F$5=$AO$2,$F$5=$AO$5,$F$5=$AO$6),IF(AG8="ج",20000,IF(AG8="ر1",28000,IF(AG8="ر2",36000,""))),IF(OR($F$5=$AO$3,$F$5=$AO$7),IF(AG8="ج",12500,IF(AG8="ر1",17500,IF(AG8="ر2",22500,""))),IF($F$5=$AO$4,500,IF(AG8="ج",25000,IF(AG8="ر1",35000,IF(AG8="ر2",45000,""))))))))))</f>
        <v>0</v>
      </c>
      <c r="AB8" s="127">
        <v>350</v>
      </c>
      <c r="AC8" s="348" t="s">
        <v>218</v>
      </c>
      <c r="AD8" s="349"/>
      <c r="AE8" s="350"/>
      <c r="AF8" s="234"/>
      <c r="AG8" s="233"/>
      <c r="AH8" s="85"/>
      <c r="AI8" s="85"/>
      <c r="AJ8" s="85"/>
      <c r="AK8" s="84"/>
      <c r="AL8" s="39" t="str">
        <f>IF(A8&lt;&gt;"",A8,"")</f>
        <v/>
      </c>
      <c r="AM8">
        <v>1</v>
      </c>
      <c r="AO8" s="67" t="s">
        <v>8</v>
      </c>
      <c r="AU8" s="54">
        <v>4</v>
      </c>
      <c r="AV8" s="54">
        <f t="shared" si="0"/>
        <v>130</v>
      </c>
      <c r="AW8" s="69" t="str">
        <f t="shared" si="0"/>
        <v xml:space="preserve">مقدمة في العلاقات العامة </v>
      </c>
      <c r="AX8" s="52">
        <f t="shared" si="1"/>
        <v>0</v>
      </c>
      <c r="AY8" s="52">
        <f t="shared" si="1"/>
        <v>0</v>
      </c>
      <c r="BB8" s="54"/>
      <c r="BC8" s="54"/>
      <c r="BD8" s="54"/>
    </row>
    <row r="9" spans="1:56" ht="24" customHeight="1" thickTop="1" thickBot="1" x14ac:dyDescent="0.3">
      <c r="A9" t="str">
        <f>IF(AND(I9&lt;&gt;"",H9=1),2,"")</f>
        <v/>
      </c>
      <c r="B9" s="117" t="b">
        <f>IF(AND(I9="A",H9=1),50000,IF(OR(I9="ج",I9="ر1",I9="ر2"),IF(H9=1,IF(OR($F$5=$AO$8,$F$5=$AO$9),0,IF(OR($F$5=$AO$1,$F$5=$AO$2,$F$5=$AO$5,$F$5=$AO$6),IF(I9="ج",20000,IF(I9="ر1",28000,IF(I9="ر2",36000,""))),IF(OR($F$5=$AO$3,$F$5=$AO$7),IF(I9="ج",12500,IF(I9="ر1",17500,IF(I9="ر2",22500,""))),IF($F$5=$AO$4,500,IF(I9="ج",25000,IF(I9="ر1",35000,IF(I9="ر2",45000,""))))))))))</f>
        <v>0</v>
      </c>
      <c r="C9" s="128">
        <v>110</v>
      </c>
      <c r="D9" s="344" t="s">
        <v>204</v>
      </c>
      <c r="E9" s="344"/>
      <c r="F9" s="344"/>
      <c r="G9" s="344"/>
      <c r="H9" s="234"/>
      <c r="I9" s="233"/>
      <c r="J9" s="88" t="str">
        <f>IF(AND(Q9&lt;&gt;"",P9=1),7,"")</f>
        <v/>
      </c>
      <c r="K9" s="117" t="b">
        <f>IF(AND(Q9="A",P9=1),50000,IF(OR(Q9="ج",Q9="ر1",Q9="ر2"),IF(P9=1,IF(OR($F$5=$AO$8,$F$5=$AO$9),0,IF(OR($F$5=$AO$1,$F$5=$AO$2,$F$5=$AO$5,$F$5=$AO$6),IF(Q9="ج",20000,IF(Q9="ر1",28000,IF(Q9="ر2",36000,""))),IF(OR($F$5=$AO$3,$F$5=$AO$7),IF(Q9="ج",12500,IF(Q9="ر1",17500,IF(Q9="ر2",22500,""))),IF($F$5=$AO$4,500,IF(Q9="ج",25000,IF(Q9="ر1",35000,IF(Q9="ر2",45000,""))))))))))</f>
        <v>0</v>
      </c>
      <c r="L9" s="128">
        <v>160</v>
      </c>
      <c r="M9" s="344" t="s">
        <v>209</v>
      </c>
      <c r="N9" s="344"/>
      <c r="O9" s="344"/>
      <c r="P9" s="234"/>
      <c r="Q9" s="233"/>
      <c r="R9" s="59" t="str">
        <f>IF(AND(Y9&lt;&gt;"",X9=1),22,"")</f>
        <v/>
      </c>
      <c r="S9" s="117" t="b">
        <f>IF(AND(Y9="A",X9=1),50000,IF(OR(Y9="ج",Y9="ر1",Y9="ر2"),IF(X9=1,IF(OR($F$5=$AO$8,$F$5=$AO$9),0,IF(OR($F$5=$AO$1,$F$5=$AO$2,$F$5=$AO$5,$F$5=$AO$6),IF(Y9="ج",20000,IF(Y9="ر1",28000,IF(Y9="ر2",36000,""))),IF(OR($F$5=$AO$3,$F$5=$AO$7),IF(Y9="ج",12500,IF(Y9="ر1",17500,IF(Y9="ر2",22500,""))),IF($F$5=$AO$4,500,IF(Y9="ج",25000,IF(Y9="ر1",35000,IF(Y9="ر2",45000,""))))))))))</f>
        <v>0</v>
      </c>
      <c r="T9" s="128">
        <v>310</v>
      </c>
      <c r="U9" s="335" t="s">
        <v>214</v>
      </c>
      <c r="V9" s="336"/>
      <c r="W9" s="337"/>
      <c r="X9" s="234"/>
      <c r="Y9" s="233"/>
      <c r="Z9" s="90" t="str">
        <f>IF(AND(AG9&lt;&gt;"",AF9=1),27,"")</f>
        <v/>
      </c>
      <c r="AA9" s="117" t="b">
        <f>IF(AND(AG9="A",AF9=1),50000,IF(OR(AG9="ج",AG9="ر1",AG9="ر2"),IF(AF9=1,IF(OR($F$5=$AO$8,$F$5=$AO$9),0,IF(OR($F$5=$AO$1,$F$5=$AO$2,$F$5=$AO$5,$F$5=$AO$6),IF(AG9="ج",20000,IF(AG9="ر1",28000,IF(AG9="ر2",36000,""))),IF(OR($F$5=$AO$3,$F$5=$AO$7),IF(AG9="ج",12500,IF(AG9="ر1",17500,IF(AG9="ر2",22500,""))),IF($F$5=$AO$4,500,IF(AG9="ج",25000,IF(AG9="ر1",35000,IF(AG9="ر2",45000,""))))))))))</f>
        <v>0</v>
      </c>
      <c r="AB9" s="128">
        <v>360</v>
      </c>
      <c r="AC9" s="335" t="s">
        <v>219</v>
      </c>
      <c r="AD9" s="336"/>
      <c r="AE9" s="337"/>
      <c r="AF9" s="234"/>
      <c r="AG9" s="233"/>
      <c r="AH9" s="331"/>
      <c r="AI9" s="332"/>
      <c r="AJ9" s="332"/>
      <c r="AK9" s="84"/>
      <c r="AL9" s="39" t="str">
        <f>IF(A9&lt;&gt;"",A9,"")</f>
        <v/>
      </c>
      <c r="AM9">
        <v>2</v>
      </c>
      <c r="AO9" s="92" t="s">
        <v>15</v>
      </c>
      <c r="AU9" s="54">
        <v>5</v>
      </c>
      <c r="AV9" s="54">
        <f t="shared" si="0"/>
        <v>140</v>
      </c>
      <c r="AW9" s="69" t="str">
        <f t="shared" si="0"/>
        <v xml:space="preserve">مادة اعلامية باللغة الأجنبية (1) </v>
      </c>
      <c r="AX9" s="52">
        <f t="shared" si="1"/>
        <v>0</v>
      </c>
      <c r="AY9" s="52">
        <f t="shared" si="1"/>
        <v>0</v>
      </c>
      <c r="BB9" s="54"/>
      <c r="BC9" s="54"/>
      <c r="BD9" s="54"/>
    </row>
    <row r="10" spans="1:56" ht="24" customHeight="1" thickTop="1" thickBot="1" x14ac:dyDescent="0.3">
      <c r="A10" t="str">
        <f>IF(AND(I10&lt;&gt;"",H10=1),3,"")</f>
        <v/>
      </c>
      <c r="B10" s="117" t="b">
        <f>IF(AND(I10="A",H10=1),50000,IF(OR(I10="ج",I10="ر1",I10="ر2"),IF(H10=1,IF(OR($F$5=$AO$8,$F$5=$AO$9),0,IF(OR($F$5=$AO$1,$F$5=$AO$2,$F$5=$AO$5,$F$5=$AO$6),IF(I10="ج",20000,IF(I10="ر1",28000,IF(I10="ر2",36000,""))),IF(OR($F$5=$AO$3,$F$5=$AO$7),IF(I10="ج",12500,IF(I10="ر1",17500,IF(I10="ر2",22500,""))),IF($F$5=$AO$4,500,IF(I10="ج",25000,IF(I10="ر1",35000,IF(I10="ر2",45000,""))))))))))</f>
        <v>0</v>
      </c>
      <c r="C10" s="128">
        <v>120</v>
      </c>
      <c r="D10" s="344" t="s">
        <v>205</v>
      </c>
      <c r="E10" s="344"/>
      <c r="F10" s="344"/>
      <c r="G10" s="344"/>
      <c r="H10" s="234"/>
      <c r="I10" s="233"/>
      <c r="J10" s="88" t="str">
        <f>IF(AND(Q10&lt;&gt;"",P10=1),8,"")</f>
        <v/>
      </c>
      <c r="K10" s="117" t="b">
        <f>IF(AND(Q10="A",P10=1),50000,IF(OR(Q10="ج",Q10="ر1",Q10="ر2"),IF(P10=1,IF(OR($F$5=$AO$8,$F$5=$AO$9),0,IF(OR($F$5=$AO$1,$F$5=$AO$2,$F$5=$AO$5,$F$5=$AO$6),IF(Q10="ج",20000,IF(Q10="ر1",28000,IF(Q10="ر2",36000,""))),IF(OR($F$5=$AO$3,$F$5=$AO$7),IF(Q10="ج",12500,IF(Q10="ر1",17500,IF(Q10="ر2",22500,""))),IF($F$5=$AO$4,500,IF(Q10="ج",25000,IF(Q10="ر1",35000,IF(Q10="ر2",45000,""))))))))))</f>
        <v>0</v>
      </c>
      <c r="L10" s="128">
        <v>170</v>
      </c>
      <c r="M10" s="344" t="s">
        <v>210</v>
      </c>
      <c r="N10" s="344"/>
      <c r="O10" s="344"/>
      <c r="P10" s="234"/>
      <c r="Q10" s="233"/>
      <c r="R10" s="59" t="str">
        <f>IF(AND(Y10&lt;&gt;"",X10=1),23,"")</f>
        <v/>
      </c>
      <c r="S10" s="117" t="b">
        <f>IF(AND(Y10="A",X10=1),50000,IF(OR(Y10="ج",Y10="ر1",Y10="ر2"),IF(X10=1,IF(OR($F$5=$AO$8,$F$5=$AO$9),0,IF(OR($F$5=$AO$1,$F$5=$AO$2,$F$5=$AO$5,$F$5=$AO$6),IF(Y10="ج",20000,IF(Y10="ر1",28000,IF(Y10="ر2",36000,""))),IF(OR($F$5=$AO$3,$F$5=$AO$7),IF(Y10="ج",12500,IF(Y10="ر1",17500,IF(Y10="ر2",22500,""))),IF($F$5=$AO$4,500,IF(Y10="ج",25000,IF(Y10="ر1",35000,IF(Y10="ر2",45000,""))))))))))</f>
        <v>0</v>
      </c>
      <c r="T10" s="128">
        <v>320</v>
      </c>
      <c r="U10" s="335" t="s">
        <v>215</v>
      </c>
      <c r="V10" s="336"/>
      <c r="W10" s="337"/>
      <c r="X10" s="234"/>
      <c r="Y10" s="233"/>
      <c r="Z10" s="90" t="str">
        <f>IF(AND(AG10&lt;&gt;"",AF10=1),28,"")</f>
        <v/>
      </c>
      <c r="AA10" s="117" t="b">
        <f>IF(AND(AG10="A",AF10=1),50000,IF(OR(AG10="ج",AG10="ر1",AG10="ر2"),IF(AF10=1,IF(OR($F$5=$AO$8,$F$5=$AO$9),0,IF(OR($F$5=$AO$1,$F$5=$AO$2,$F$5=$AO$5,$F$5=$AO$6),IF(AG10="ج",20000,IF(AG10="ر1",28000,IF(AG10="ر2",36000,""))),IF(OR($F$5=$AO$3,$F$5=$AO$7),IF(AG10="ج",12500,IF(AG10="ر1",17500,IF(AG10="ر2",22500,""))),IF($F$5=$AO$4,500,IF(AG10="ج",25000,IF(AG10="ر1",35000,IF(AG10="ر2",45000,""))))))))))</f>
        <v>0</v>
      </c>
      <c r="AB10" s="128">
        <v>370</v>
      </c>
      <c r="AC10" s="335" t="s">
        <v>220</v>
      </c>
      <c r="AD10" s="336"/>
      <c r="AE10" s="337"/>
      <c r="AF10" s="234"/>
      <c r="AG10" s="233"/>
      <c r="AH10" s="333"/>
      <c r="AI10" s="334"/>
      <c r="AJ10" s="334"/>
      <c r="AK10" s="84"/>
      <c r="AL10" s="39" t="str">
        <f>IF(A10&lt;&gt;"",A10,"")</f>
        <v/>
      </c>
      <c r="AM10">
        <v>3</v>
      </c>
      <c r="AU10" s="54">
        <v>6</v>
      </c>
      <c r="AV10" s="54">
        <f t="shared" ref="AV10:AW14" si="2">L8</f>
        <v>150</v>
      </c>
      <c r="AW10" s="63" t="str">
        <f t="shared" si="2"/>
        <v>الترجمة الاعلامية (1)</v>
      </c>
      <c r="AX10" s="52">
        <f t="shared" ref="AX10:AY14" si="3">P8</f>
        <v>0</v>
      </c>
      <c r="AY10" s="52">
        <f t="shared" si="3"/>
        <v>0</v>
      </c>
      <c r="BB10" s="63"/>
      <c r="BC10" s="63"/>
    </row>
    <row r="11" spans="1:56" ht="24" customHeight="1" thickTop="1" thickBot="1" x14ac:dyDescent="0.3">
      <c r="A11" t="str">
        <f>IF(AND(I11&lt;&gt;"",H11=1),4,"")</f>
        <v/>
      </c>
      <c r="B11" s="117" t="b">
        <f>IF(AND(I11="A",H11=1),50000,IF(OR(I11="ج",I11="ر1",I11="ر2"),IF(H11=1,IF(OR($F$5=$AO$8,$F$5=$AO$9),0,IF(OR($F$5=$AO$1,$F$5=$AO$2,$F$5=$AO$5,$F$5=$AO$6),IF(I11="ج",20000,IF(I11="ر1",28000,IF(I11="ر2",36000,""))),IF(OR($F$5=$AO$3,$F$5=$AO$7),IF(I11="ج",12500,IF(I11="ر1",17500,IF(I11="ر2",22500,""))),IF($F$5=$AO$4,500,IF(I11="ج",25000,IF(I11="ر1",35000,IF(I11="ر2",45000,""))))))))))</f>
        <v>0</v>
      </c>
      <c r="C11" s="128">
        <v>130</v>
      </c>
      <c r="D11" s="344" t="s">
        <v>206</v>
      </c>
      <c r="E11" s="344"/>
      <c r="F11" s="344"/>
      <c r="G11" s="344"/>
      <c r="H11" s="234"/>
      <c r="I11" s="233"/>
      <c r="J11" s="88" t="str">
        <f>IF(AND(Q11&lt;&gt;"",P11=1),9,"")</f>
        <v/>
      </c>
      <c r="K11" s="117" t="b">
        <f>IF(AND(Q11="A",P11=1),50000,IF(OR(Q11="ج",Q11="ر1",Q11="ر2"),IF(P11=1,IF(OR($F$5=$AO$8,$F$5=$AO$9),0,IF(OR($F$5=$AO$1,$F$5=$AO$2,$F$5=$AO$5,$F$5=$AO$6),IF(Q11="ج",20000,IF(Q11="ر1",28000,IF(Q11="ر2",36000,""))),IF(OR($F$5=$AO$3,$F$5=$AO$7),IF(Q11="ج",12500,IF(Q11="ر1",17500,IF(Q11="ر2",22500,""))),IF($F$5=$AO$4,500,IF(Q11="ج",25000,IF(Q11="ر1",35000,IF(Q11="ر2",45000,""))))))))))</f>
        <v>0</v>
      </c>
      <c r="L11" s="128">
        <v>180</v>
      </c>
      <c r="M11" s="344" t="s">
        <v>211</v>
      </c>
      <c r="N11" s="344"/>
      <c r="O11" s="344"/>
      <c r="P11" s="234"/>
      <c r="Q11" s="233"/>
      <c r="R11" s="59" t="str">
        <f>IF(AND(Y11&lt;&gt;"",X11=1),24,"")</f>
        <v/>
      </c>
      <c r="S11" s="117" t="b">
        <f>IF(AND(Y11="A",X11=1),50000,IF(OR(Y11="ج",Y11="ر1",Y11="ر2"),IF(X11=1,IF(OR($F$5=$AO$8,$F$5=$AO$9),0,IF(OR($F$5=$AO$1,$F$5=$AO$2,$F$5=$AO$5,$F$5=$AO$6),IF(Y11="ج",20000,IF(Y11="ر1",28000,IF(Y11="ر2",36000,""))),IF(OR($F$5=$AO$3,$F$5=$AO$7),IF(Y11="ج",12500,IF(Y11="ر1",17500,IF(Y11="ر2",22500,""))),IF($F$5=$AO$4,500,IF(Y11="ج",25000,IF(Y11="ر1",35000,IF(Y11="ر2",45000,""))))))))))</f>
        <v>0</v>
      </c>
      <c r="T11" s="128">
        <v>330</v>
      </c>
      <c r="U11" s="335" t="s">
        <v>216</v>
      </c>
      <c r="V11" s="336"/>
      <c r="W11" s="337"/>
      <c r="X11" s="234"/>
      <c r="Y11" s="233"/>
      <c r="Z11" s="90" t="str">
        <f>IF(AND(AG11&lt;&gt;"",AF11=1),29,"")</f>
        <v/>
      </c>
      <c r="AA11" s="117" t="b">
        <f>IF(AND(AG11="A",AF11=1),50000,IF(OR(AG11="ج",AG11="ر1",AG11="ر2"),IF(AF11=1,IF(OR($F$5=$AO$8,$F$5=$AO$9),0,IF(OR($F$5=$AO$1,$F$5=$AO$2,$F$5=$AO$5,$F$5=$AO$6),IF(AG11="ج",20000,IF(AG11="ر1",28000,IF(AG11="ر2",36000,""))),IF(OR($F$5=$AO$3,$F$5=$AO$7),IF(AG11="ج",12500,IF(AG11="ر1",17500,IF(AG11="ر2",22500,""))),IF($F$5=$AO$4,500,IF(AG11="ج",25000,IF(AG11="ر1",35000,IF(AG11="ر2",45000,""))))))))))</f>
        <v>0</v>
      </c>
      <c r="AB11" s="128">
        <v>380</v>
      </c>
      <c r="AC11" s="335" t="s">
        <v>221</v>
      </c>
      <c r="AD11" s="336"/>
      <c r="AE11" s="337"/>
      <c r="AF11" s="234"/>
      <c r="AG11" s="233"/>
      <c r="AH11" s="333"/>
      <c r="AI11" s="334"/>
      <c r="AJ11" s="334"/>
      <c r="AK11" s="84"/>
      <c r="AL11" s="39" t="str">
        <f>IF(A11&lt;&gt;"",A11,"")</f>
        <v/>
      </c>
      <c r="AM11">
        <v>4</v>
      </c>
      <c r="AU11" s="54">
        <v>7</v>
      </c>
      <c r="AV11" s="54">
        <f t="shared" si="2"/>
        <v>160</v>
      </c>
      <c r="AW11" s="63" t="str">
        <f t="shared" si="2"/>
        <v xml:space="preserve">اللغة الاعلامية </v>
      </c>
      <c r="AX11" s="52">
        <f t="shared" si="3"/>
        <v>0</v>
      </c>
      <c r="AY11" s="52">
        <f t="shared" si="3"/>
        <v>0</v>
      </c>
      <c r="BB11" s="54"/>
      <c r="BC11" s="54"/>
    </row>
    <row r="12" spans="1:56" ht="22.2" thickTop="1" thickBot="1" x14ac:dyDescent="0.3">
      <c r="A12" t="str">
        <f>IF(AND(I12&lt;&gt;"",H12=1),5,"")</f>
        <v/>
      </c>
      <c r="B12" s="117" t="b">
        <f>IF(AND(I12="A",H12=1),50000,IF(OR(I12="ج",I12="ر1",I12="ر2"),IF(H12=1,IF(OR($F$5=$AO$8,$F$5=$AO$9),0,IF(OR($F$5=$AO$1,$F$5=$AO$2,$F$5=$AO$5,$F$5=$AO$6),IF(I12="ج",20000,IF(I12="ر1",28000,IF(I12="ر2",36000,""))),IF(OR($F$5=$AO$3,$F$5=$AO$7),IF(I12="ج",12500,IF(I12="ر1",17500,IF(I12="ر2",22500,""))),IF($F$5=$AO$4,500,IF(I12="ج",25000,IF(I12="ر1",35000,IF(I12="ر2",45000,""))))))))))</f>
        <v>0</v>
      </c>
      <c r="C12" s="129">
        <v>140</v>
      </c>
      <c r="D12" s="313" t="s">
        <v>207</v>
      </c>
      <c r="E12" s="313"/>
      <c r="F12" s="313"/>
      <c r="G12" s="313"/>
      <c r="H12" s="234"/>
      <c r="I12" s="233"/>
      <c r="J12" s="88" t="str">
        <f>IF(AND(Q12&lt;&gt;"",P12=1),10,"")</f>
        <v/>
      </c>
      <c r="K12" s="117" t="b">
        <f>IF(AND(Q12="A",P12=1),50000,IF(OR(Q12="ج",Q12="ر1",Q12="ر2"),IF(P12=1,IF(OR($F$5=$AO$8,$F$5=$AO$9),0,IF(OR($F$5=$AO$1,$F$5=$AO$2,$F$5=$AO$5,$F$5=$AO$6),IF(Q12="ج",20000,IF(Q12="ر1",28000,IF(Q12="ر2",36000,""))),IF(OR($F$5=$AO$3,$F$5=$AO$7),IF(Q12="ج",12500,IF(Q12="ر1",17500,IF(Q12="ر2",22500,""))),IF($F$5=$AO$4,500,IF(Q12="ج",25000,IF(Q12="ر1",35000,IF(Q12="ر2",45000,""))))))))))</f>
        <v>0</v>
      </c>
      <c r="L12" s="129">
        <v>190</v>
      </c>
      <c r="M12" s="313" t="s">
        <v>212</v>
      </c>
      <c r="N12" s="313"/>
      <c r="O12" s="313"/>
      <c r="P12" s="234"/>
      <c r="Q12" s="233"/>
      <c r="R12" s="59" t="str">
        <f>IF(AND(Y12&lt;&gt;"",X12=1),25,"")</f>
        <v/>
      </c>
      <c r="S12" s="117" t="b">
        <f>IF(AND(Y12="A",X12=1),50000,IF(OR(Y12="ج",Y12="ر1",Y12="ر2"),IF(X12=1,IF(OR($F$5=$AO$8,$F$5=$AO$9),0,IF(OR($F$5=$AO$1,$F$5=$AO$2,$F$5=$AO$5,$F$5=$AO$6),IF(Y12="ج",20000,IF(Y12="ر1",28000,IF(Y12="ر2",36000,""))),IF(OR($F$5=$AO$3,$F$5=$AO$7),IF(Y12="ج",12500,IF(Y12="ر1",17500,IF(Y12="ر2",22500,""))),IF($F$5=$AO$4,500,IF(Y12="ج",25000,IF(Y12="ر1",35000,IF(Y12="ر2",45000,""))))))))))</f>
        <v>0</v>
      </c>
      <c r="T12" s="129">
        <v>340</v>
      </c>
      <c r="U12" s="338" t="s">
        <v>217</v>
      </c>
      <c r="V12" s="339"/>
      <c r="W12" s="340"/>
      <c r="X12" s="234"/>
      <c r="Y12" s="233"/>
      <c r="Z12" s="90" t="str">
        <f>IF(AND(AG12&lt;&gt;"",AF12=1),30,"")</f>
        <v/>
      </c>
      <c r="AA12" s="117" t="b">
        <f>IF(AND(AG12="A",AF12=1),50000,IF(OR(AG12="ج",AG12="ر1",AG12="ر2"),IF(AF12=1,IF(OR($F$5=$AO$8,$F$5=$AO$9),0,IF(OR($F$5=$AO$1,$F$5=$AO$2,$F$5=$AO$5,$F$5=$AO$6),IF(AG12="ج",20000,IF(AG12="ر1",28000,IF(AG12="ر2",36000,""))),IF(OR($F$5=$AO$3,$F$5=$AO$7),IF(AG12="ج",12500,IF(AG12="ر1",17500,IF(AG12="ر2",22500,""))),IF($F$5=$AO$4,500,IF(AG12="ج",25000,IF(AG12="ر1",35000,IF(AG12="ر2",45000,""))))))))))</f>
        <v>0</v>
      </c>
      <c r="AB12" s="129">
        <v>390</v>
      </c>
      <c r="AC12" s="345" t="s">
        <v>222</v>
      </c>
      <c r="AD12" s="346"/>
      <c r="AE12" s="347"/>
      <c r="AF12" s="234"/>
      <c r="AG12" s="233"/>
      <c r="AH12" s="343"/>
      <c r="AI12" s="343"/>
      <c r="AJ12" s="343"/>
      <c r="AK12" s="84"/>
      <c r="AL12" s="39" t="str">
        <f>IF(A12&lt;&gt;"",A12,"")</f>
        <v/>
      </c>
      <c r="AM12">
        <v>5</v>
      </c>
      <c r="AU12" s="54">
        <v>8</v>
      </c>
      <c r="AV12" s="54">
        <f t="shared" si="2"/>
        <v>170</v>
      </c>
      <c r="AW12" s="63" t="str">
        <f t="shared" si="2"/>
        <v xml:space="preserve">مقدمة في مناهج البحث الاعلامي </v>
      </c>
      <c r="AX12" s="52">
        <f t="shared" si="3"/>
        <v>0</v>
      </c>
      <c r="AY12" s="52">
        <f t="shared" si="3"/>
        <v>0</v>
      </c>
      <c r="BB12" s="54"/>
      <c r="BC12" s="54"/>
    </row>
    <row r="13" spans="1:56" ht="16.2" hidden="1" thickBot="1" x14ac:dyDescent="0.3">
      <c r="B13" s="32">
        <f>SUM(B8:B12)</f>
        <v>0</v>
      </c>
      <c r="C13" s="71"/>
      <c r="D13" s="72"/>
      <c r="E13" s="72"/>
      <c r="F13" s="72">
        <f>COUNTIFS(I8:I12,"A",H8:H12,1)</f>
        <v>0</v>
      </c>
      <c r="G13" s="72">
        <f>COUNTIFS(I8:I12,$Q$30,H8:H12,1)</f>
        <v>0</v>
      </c>
      <c r="H13" s="93">
        <f>COUNTIFS(I8:I12,$W$30,H8:H12,1)</f>
        <v>0</v>
      </c>
      <c r="I13" s="94">
        <f>COUNTIFS(I8:I12,$AE$30,H8:H12,1)</f>
        <v>0</v>
      </c>
      <c r="J13" s="58"/>
      <c r="K13" s="29">
        <f>SUM(K8:K12)</f>
        <v>0</v>
      </c>
      <c r="L13" s="73"/>
      <c r="M13" s="74"/>
      <c r="N13" s="72">
        <f>COUNTIFS(Q8:Q12,"A",P8:P12,1)</f>
        <v>0</v>
      </c>
      <c r="O13" s="72">
        <f>COUNTIFS(Q8:Q12,$Q$30,P8:P12,1)</f>
        <v>0</v>
      </c>
      <c r="P13" s="93">
        <f>COUNTIFS(Q8:Q12,$W$30,P8:P12,1)</f>
        <v>0</v>
      </c>
      <c r="Q13" s="94">
        <f>COUNTIFS(Q8:Q12,$AE$30,P8:P12,1)</f>
        <v>0</v>
      </c>
      <c r="R13" s="59"/>
      <c r="S13" s="32">
        <f>SUM(S8:S12)</f>
        <v>0</v>
      </c>
      <c r="T13" s="34"/>
      <c r="U13" s="35"/>
      <c r="V13" s="72">
        <f>COUNTIFS(Y8:Y12,"A",X8:X12,1)</f>
        <v>0</v>
      </c>
      <c r="W13" s="72">
        <f>COUNTIFS(Y8:Y12,$Q$30,X8:X12,1)</f>
        <v>0</v>
      </c>
      <c r="X13" s="93">
        <f>COUNTIFS(Y8:Y12,$W$30,X8:X12,1)</f>
        <v>0</v>
      </c>
      <c r="Y13" s="94">
        <f>COUNTIFS(Y8:Y12,$AE$30,X8:X12,1)</f>
        <v>0</v>
      </c>
      <c r="Z13" s="36"/>
      <c r="AA13" s="37">
        <f>SUM(AA8:AA12)</f>
        <v>0</v>
      </c>
      <c r="AB13" s="35"/>
      <c r="AC13" s="35"/>
      <c r="AD13" s="72">
        <f>COUNTIFS(AG8:AG12,"A",AF8:AF12,1)</f>
        <v>0</v>
      </c>
      <c r="AE13" s="72">
        <f>COUNTIFS(AG8:AG12,$Q$30,AF8:AF12,1)</f>
        <v>0</v>
      </c>
      <c r="AF13" s="93">
        <f>COUNTIFS(AG8:AG12,$W$30,AF8:AF12,1)</f>
        <v>0</v>
      </c>
      <c r="AG13" s="94">
        <f>COUNTIFS(AG8:AG12,$AE$30,AF8:AF12,1)</f>
        <v>0</v>
      </c>
      <c r="AH13" s="343"/>
      <c r="AI13" s="343"/>
      <c r="AJ13" s="343"/>
      <c r="AK13" s="84"/>
      <c r="AL13" s="39" t="str">
        <f>IF(J8&lt;&gt;"",J8,"")</f>
        <v/>
      </c>
      <c r="AM13">
        <v>6</v>
      </c>
      <c r="AU13" s="54">
        <v>9</v>
      </c>
      <c r="AV13" s="54">
        <f t="shared" si="2"/>
        <v>180</v>
      </c>
      <c r="AW13" s="63" t="str">
        <f t="shared" si="2"/>
        <v xml:space="preserve">فن الاعلان الصحفي </v>
      </c>
      <c r="AX13" s="52">
        <f t="shared" si="3"/>
        <v>0</v>
      </c>
      <c r="AY13" s="52">
        <f t="shared" si="3"/>
        <v>0</v>
      </c>
      <c r="BB13" s="54"/>
      <c r="BC13" s="54"/>
    </row>
    <row r="14" spans="1:56" ht="21.6" thickBot="1" x14ac:dyDescent="0.3">
      <c r="B14" s="342" t="s">
        <v>21</v>
      </c>
      <c r="C14" s="342"/>
      <c r="D14" s="342"/>
      <c r="E14" s="342"/>
      <c r="F14" s="342"/>
      <c r="G14" s="342"/>
      <c r="H14" s="342"/>
      <c r="I14" s="342"/>
      <c r="J14" s="342"/>
      <c r="K14" s="342"/>
      <c r="L14" s="342"/>
      <c r="M14" s="342"/>
      <c r="N14" s="342"/>
      <c r="O14" s="342"/>
      <c r="P14" s="342"/>
      <c r="Q14" s="375"/>
      <c r="R14" s="41"/>
      <c r="S14" s="341" t="s">
        <v>22</v>
      </c>
      <c r="T14" s="342"/>
      <c r="U14" s="342"/>
      <c r="V14" s="342"/>
      <c r="W14" s="342"/>
      <c r="X14" s="342"/>
      <c r="Y14" s="342"/>
      <c r="Z14" s="342"/>
      <c r="AA14" s="342"/>
      <c r="AB14" s="342"/>
      <c r="AC14" s="342"/>
      <c r="AD14" s="342"/>
      <c r="AE14" s="342"/>
      <c r="AF14" s="342"/>
      <c r="AG14" s="342"/>
      <c r="AH14" s="343"/>
      <c r="AI14" s="343"/>
      <c r="AJ14" s="343"/>
      <c r="AK14" s="84"/>
      <c r="AL14" s="39" t="str">
        <f>IF(J9&lt;&gt;"",J9,"")</f>
        <v/>
      </c>
      <c r="AM14">
        <v>7</v>
      </c>
      <c r="AU14" s="54">
        <v>10</v>
      </c>
      <c r="AV14" s="54">
        <f t="shared" si="2"/>
        <v>190</v>
      </c>
      <c r="AW14" s="63" t="str">
        <f t="shared" si="2"/>
        <v xml:space="preserve">الاخبار الاذاعية والتلفزيونية </v>
      </c>
      <c r="AX14" s="52">
        <f t="shared" si="3"/>
        <v>0</v>
      </c>
      <c r="AY14" s="52">
        <f t="shared" si="3"/>
        <v>0</v>
      </c>
      <c r="BB14" s="54"/>
      <c r="BC14" s="54"/>
    </row>
    <row r="15" spans="1:56" ht="24" customHeight="1" thickBot="1" x14ac:dyDescent="0.3">
      <c r="A15" t="str">
        <f>IF(AND(I15&lt;&gt;"",H15=1),11,"")</f>
        <v/>
      </c>
      <c r="B15" s="117" t="b">
        <f>IF(AND(I15="A",H15=1),50000,IF(OR(I15="ج",I15="ر1",I15="ر2"),IF(H15=1,IF(OR($F$5=$AO$8,$F$5=$AO$9),0,IF(OR($F$5=$AO$1,$F$5=$AO$2,$F$5=$AO$5,$F$5=$AO$6),IF(I15="ج",20000,IF(I15="ر1",28000,IF(I15="ر2",36000,""))),IF(OR($F$5=$AO$3,$F$5=$AO$7),IF(I15="ج",12500,IF(I15="ر1",17500,IF(I15="ر2",22500,""))),IF($F$5=$AO$4,500,IF(I15="ج",25000,IF(I15="ر1",35000,IF(I15="ر2",45000,""))))))))))</f>
        <v>0</v>
      </c>
      <c r="C15" s="127">
        <v>200</v>
      </c>
      <c r="D15" s="351" t="s">
        <v>223</v>
      </c>
      <c r="E15" s="351"/>
      <c r="F15" s="351"/>
      <c r="G15" s="351"/>
      <c r="H15" s="234"/>
      <c r="I15" s="233"/>
      <c r="J15" s="88" t="str">
        <f>IF(AND(Q15&lt;&gt;"",P15=1),16,"")</f>
        <v/>
      </c>
      <c r="K15" s="117" t="b">
        <f>IF(AND(Q15="A",P15=1),50000,IF(OR(Q15="ج",Q15="ر1",Q15="ر2"),IF(P15=1,IF(OR($F$5=$AO$8,$F$5=$AO$9),0,IF(OR($F$5=$AO$1,$F$5=$AO$2,$F$5=$AO$5,$F$5=$AO$6),IF(Q15="ج",20000,IF(Q15="ر1",28000,IF(Q15="ر2",36000,""))),IF(OR($F$5=$AO$3,$F$5=$AO$7),IF(Q15="ج",12500,IF(Q15="ر1",17500,IF(Q15="ر2",22500,""))),IF($F$5=$AO$4,500,IF(Q15="ج",25000,IF(Q15="ر1",35000,IF(Q15="ر2",45000,""))))))))))</f>
        <v>0</v>
      </c>
      <c r="L15" s="127">
        <v>250</v>
      </c>
      <c r="M15" s="351" t="s">
        <v>228</v>
      </c>
      <c r="N15" s="351"/>
      <c r="O15" s="351"/>
      <c r="P15" s="234"/>
      <c r="Q15" s="233"/>
      <c r="R15" s="59" t="str">
        <f>IF(AND(Y15&lt;&gt;"",X15=1),31,"")</f>
        <v/>
      </c>
      <c r="S15" s="117" t="b">
        <f>IF(AND(Y15="A",X15=1),50000,IF(OR(Y15="ج",Y15="ر1",Y15="ر2"),IF(X15=1,IF(OR($F$5=$AO$8,$F$5=$AO$9),0,IF(OR($F$5=$AO$1,$F$5=$AO$2,$F$5=$AO$5,$F$5=$AO$6),IF(Y15="ج",20000,IF(Y15="ر1",28000,IF(Y15="ر2",36000,""))),IF(OR($F$5=$AO$3,$F$5=$AO$7),IF(Y15="ج",12500,IF(Y15="ر1",17500,IF(Y15="ر2",22500,""))),IF($F$5=$AO$4,500,IF(Y15="ج",25000,IF(Y15="ر1",35000,IF(Y15="ر2",45000,""))))))))))</f>
        <v>0</v>
      </c>
      <c r="T15" s="127">
        <v>400</v>
      </c>
      <c r="U15" s="351" t="s">
        <v>233</v>
      </c>
      <c r="V15" s="351"/>
      <c r="W15" s="351"/>
      <c r="X15" s="234"/>
      <c r="Y15" s="233"/>
      <c r="Z15" s="90" t="str">
        <f>IF(AND(AG15&lt;&gt;"",AF15=1),36,"")</f>
        <v/>
      </c>
      <c r="AA15" s="117" t="b">
        <f>IF(AND(AG15="A",AF15=1),50000,IF(OR(AG15="ج",AG15="ر1",AG15="ر2"),IF(AF15=1,IF(OR($F$5=$AO$8,$F$5=$AO$9),0,IF(OR($F$5=$AO$1,$F$5=$AO$2,$F$5=$AO$5,$F$5=$AO$6),IF(AG15="ج",20000,IF(AG15="ر1",28000,IF(AG15="ر2",36000,""))),IF(OR($F$5=$AO$3,$F$5=$AO$7),IF(AG15="ج",12500,IF(AG15="ر1",17500,IF(AG15="ر2",22500,""))),IF($F$5=$AO$4,500,IF(AG15="ج",25000,IF(AG15="ر1",35000,IF(AG15="ر2",45000,""))))))))))</f>
        <v>0</v>
      </c>
      <c r="AB15" s="127">
        <v>450</v>
      </c>
      <c r="AC15" s="348" t="s">
        <v>238</v>
      </c>
      <c r="AD15" s="349"/>
      <c r="AE15" s="350"/>
      <c r="AF15" s="234"/>
      <c r="AG15" s="233"/>
      <c r="AH15" s="343"/>
      <c r="AI15" s="343"/>
      <c r="AJ15" s="343"/>
      <c r="AK15" s="84"/>
      <c r="AL15" s="39" t="str">
        <f>IF(J10&lt;&gt;"",J10,"")</f>
        <v/>
      </c>
      <c r="AM15">
        <v>8</v>
      </c>
      <c r="AU15" s="54">
        <v>11</v>
      </c>
      <c r="AV15" s="54">
        <f t="shared" ref="AV15:AW19" si="4">C15</f>
        <v>200</v>
      </c>
      <c r="AW15" s="54" t="str">
        <f t="shared" si="4"/>
        <v xml:space="preserve">الراي العام </v>
      </c>
      <c r="AX15" s="52">
        <f t="shared" ref="AX15:AY19" si="5">H15</f>
        <v>0</v>
      </c>
      <c r="AY15" s="52">
        <f t="shared" si="5"/>
        <v>0</v>
      </c>
      <c r="BB15" s="54"/>
      <c r="BC15" s="54"/>
      <c r="BD15" s="54"/>
    </row>
    <row r="16" spans="1:56" ht="24" customHeight="1" thickTop="1" thickBot="1" x14ac:dyDescent="0.3">
      <c r="A16" t="str">
        <f>IF(AND(I16&lt;&gt;"",H16=1),12,"")</f>
        <v/>
      </c>
      <c r="B16" s="117" t="b">
        <f>IF(AND(I16="A",H16=1),50000,IF(OR(I16="ج",I16="ر1",I16="ر2"),IF(H16=1,IF(OR($F$5=$AO$8,$F$5=$AO$9),0,IF(OR($F$5=$AO$1,$F$5=$AO$2,$F$5=$AO$5,$F$5=$AO$6),IF(I16="ج",20000,IF(I16="ر1",28000,IF(I16="ر2",36000,""))),IF(OR($F$5=$AO$3,$F$5=$AO$7),IF(I16="ج",12500,IF(I16="ر1",17500,IF(I16="ر2",22500,""))),IF($F$5=$AO$4,500,IF(I16="ج",25000,IF(I16="ر1",35000,IF(I16="ر2",45000,""))))))))))</f>
        <v>0</v>
      </c>
      <c r="C16" s="128">
        <v>210</v>
      </c>
      <c r="D16" s="344" t="s">
        <v>224</v>
      </c>
      <c r="E16" s="344"/>
      <c r="F16" s="344"/>
      <c r="G16" s="344"/>
      <c r="H16" s="234"/>
      <c r="I16" s="233"/>
      <c r="J16" s="88" t="str">
        <f>IF(AND(Q16&lt;&gt;"",P16=1),17,"")</f>
        <v/>
      </c>
      <c r="K16" s="117" t="b">
        <f>IF(AND(Q16="A",P16=1),50000,IF(OR(Q16="ج",Q16="ر1",Q16="ر2"),IF(P16=1,IF(OR($F$5=$AO$8,$F$5=$AO$9),0,IF(OR($F$5=$AO$1,$F$5=$AO$2,$F$5=$AO$5,$F$5=$AO$6),IF(Q16="ج",20000,IF(Q16="ر1",28000,IF(Q16="ر2",36000,""))),IF(OR($F$5=$AO$3,$F$5=$AO$7),IF(Q16="ج",12500,IF(Q16="ر1",17500,IF(Q16="ر2",22500,""))),IF($F$5=$AO$4,500,IF(Q16="ج",25000,IF(Q16="ر1",35000,IF(Q16="ر2",45000,""))))))))))</f>
        <v>0</v>
      </c>
      <c r="L16" s="128">
        <v>260</v>
      </c>
      <c r="M16" s="344" t="s">
        <v>229</v>
      </c>
      <c r="N16" s="344"/>
      <c r="O16" s="344"/>
      <c r="P16" s="234"/>
      <c r="Q16" s="233"/>
      <c r="R16" s="59" t="str">
        <f>IF(AND(Y16&lt;&gt;"",X16=1),32,"")</f>
        <v/>
      </c>
      <c r="S16" s="117" t="b">
        <f>IF(AND(Y16="A",X16=1),50000,IF(OR(Y16="ج",Y16="ر1",Y16="ر2"),IF(X16=1,IF(OR($F$5=$AO$8,$F$5=$AO$9),0,IF(OR($F$5=$AO$1,$F$5=$AO$2,$F$5=$AO$5,$F$5=$AO$6),IF(Y16="ج",20000,IF(Y16="ر1",28000,IF(Y16="ر2",36000,""))),IF(OR($F$5=$AO$3,$F$5=$AO$7),IF(Y16="ج",12500,IF(Y16="ر1",17500,IF(Y16="ر2",22500,""))),IF($F$5=$AO$4,500,IF(Y16="ج",25000,IF(Y16="ر1",35000,IF(Y16="ر2",45000,""))))))))))</f>
        <v>0</v>
      </c>
      <c r="T16" s="128">
        <v>410</v>
      </c>
      <c r="U16" s="344" t="s">
        <v>234</v>
      </c>
      <c r="V16" s="344"/>
      <c r="W16" s="344"/>
      <c r="X16" s="234"/>
      <c r="Y16" s="233"/>
      <c r="Z16" s="90" t="str">
        <f>IF(AND(AG16&lt;&gt;"",AF16=1),37,"")</f>
        <v/>
      </c>
      <c r="AA16" s="117" t="b">
        <f>IF(AND(AG16="A",AF16=1),50000,IF(OR(AG16="ج",AG16="ر1",AG16="ر2"),IF(AF16=1,IF(OR($F$5=$AO$8,$F$5=$AO$9),0,IF(OR($F$5=$AO$1,$F$5=$AO$2,$F$5=$AO$5,$F$5=$AO$6),IF(AG16="ج",20000,IF(AG16="ر1",28000,IF(AG16="ر2",36000,""))),IF(OR($F$5=$AO$3,$F$5=$AO$7),IF(AG16="ج",12500,IF(AG16="ر1",17500,IF(AG16="ر2",22500,""))),IF($F$5=$AO$4,500,IF(AG16="ج",25000,IF(AG16="ر1",35000,IF(AG16="ر2",45000,""))))))))))</f>
        <v>0</v>
      </c>
      <c r="AB16" s="128">
        <v>460</v>
      </c>
      <c r="AC16" s="335" t="s">
        <v>239</v>
      </c>
      <c r="AD16" s="336"/>
      <c r="AE16" s="337"/>
      <c r="AF16" s="234"/>
      <c r="AG16" s="233"/>
      <c r="AH16" s="343"/>
      <c r="AI16" s="343"/>
      <c r="AJ16" s="343"/>
      <c r="AK16" s="84"/>
      <c r="AL16" s="39" t="str">
        <f>IF(J11&lt;&gt;"",J11,"")</f>
        <v/>
      </c>
      <c r="AM16">
        <v>9</v>
      </c>
      <c r="AU16" s="54">
        <v>12</v>
      </c>
      <c r="AV16" s="54">
        <f t="shared" si="4"/>
        <v>210</v>
      </c>
      <c r="AW16" s="54" t="str">
        <f t="shared" si="4"/>
        <v xml:space="preserve">تشريعات الاعلام واخلاقياته </v>
      </c>
      <c r="AX16" s="52">
        <f t="shared" si="5"/>
        <v>0</v>
      </c>
      <c r="AY16" s="52">
        <f t="shared" si="5"/>
        <v>0</v>
      </c>
      <c r="BB16" s="54"/>
      <c r="BC16" s="54"/>
      <c r="BD16" s="54"/>
    </row>
    <row r="17" spans="1:56" ht="24" customHeight="1" thickTop="1" thickBot="1" x14ac:dyDescent="0.3">
      <c r="A17" t="str">
        <f>IF(AND(I17&lt;&gt;"",H17=1),13,"")</f>
        <v/>
      </c>
      <c r="B17" s="117" t="b">
        <f>IF(AND(I17="A",H17=1),50000,IF(OR(I17="ج",I17="ر1",I17="ر2"),IF(H17=1,IF(OR($F$5=$AO$8,$F$5=$AO$9),0,IF(OR($F$5=$AO$1,$F$5=$AO$2,$F$5=$AO$5,$F$5=$AO$6),IF(I17="ج",20000,IF(I17="ر1",28000,IF(I17="ر2",36000,""))),IF(OR($F$5=$AO$3,$F$5=$AO$7),IF(I17="ج",12500,IF(I17="ر1",17500,IF(I17="ر2",22500,""))),IF($F$5=$AO$4,500,IF(I17="ج",25000,IF(I17="ر1",35000,IF(I17="ر2",45000,""))))))))))</f>
        <v>0</v>
      </c>
      <c r="C17" s="128">
        <v>220</v>
      </c>
      <c r="D17" s="344" t="s">
        <v>225</v>
      </c>
      <c r="E17" s="344"/>
      <c r="F17" s="344"/>
      <c r="G17" s="344"/>
      <c r="H17" s="234"/>
      <c r="I17" s="233"/>
      <c r="J17" s="88" t="str">
        <f>IF(AND(Q17&lt;&gt;"",P17=1),18,"")</f>
        <v/>
      </c>
      <c r="K17" s="117" t="b">
        <f>IF(AND(Q17="A",P17=1),50000,IF(OR(Q17="ج",Q17="ر1",Q17="ر2"),IF(P17=1,IF(OR($F$5=$AO$8,$F$5=$AO$9),0,IF(OR($F$5=$AO$1,$F$5=$AO$2,$F$5=$AO$5,$F$5=$AO$6),IF(Q17="ج",20000,IF(Q17="ر1",28000,IF(Q17="ر2",36000,""))),IF(OR($F$5=$AO$3,$F$5=$AO$7),IF(Q17="ج",12500,IF(Q17="ر1",17500,IF(Q17="ر2",22500,""))),IF($F$5=$AO$4,500,IF(Q17="ج",25000,IF(Q17="ر1",35000,IF(Q17="ر2",45000,""))))))))))</f>
        <v>0</v>
      </c>
      <c r="L17" s="128">
        <v>270</v>
      </c>
      <c r="M17" s="344" t="s">
        <v>230</v>
      </c>
      <c r="N17" s="344"/>
      <c r="O17" s="344"/>
      <c r="P17" s="234"/>
      <c r="Q17" s="233"/>
      <c r="R17" s="59" t="str">
        <f>IF(AND(Y17&lt;&gt;"",X17=1),33,"")</f>
        <v/>
      </c>
      <c r="S17" s="117" t="b">
        <f>IF(AND(Y17="A",X17=1),50000,IF(OR(Y17="ج",Y17="ر1",Y17="ر2"),IF(X17=1,IF(OR($F$5=$AO$8,$F$5=$AO$9),0,IF(OR($F$5=$AO$1,$F$5=$AO$2,$F$5=$AO$5,$F$5=$AO$6),IF(Y17="ج",20000,IF(Y17="ر1",28000,IF(Y17="ر2",36000,""))),IF(OR($F$5=$AO$3,$F$5=$AO$7),IF(Y17="ج",12500,IF(Y17="ر1",17500,IF(Y17="ر2",22500,""))),IF($F$5=$AO$4,500,IF(Y17="ج",25000,IF(Y17="ر1",35000,IF(Y17="ر2",45000,""))))))))))</f>
        <v>0</v>
      </c>
      <c r="T17" s="128">
        <v>420</v>
      </c>
      <c r="U17" s="344" t="s">
        <v>235</v>
      </c>
      <c r="V17" s="344"/>
      <c r="W17" s="344"/>
      <c r="X17" s="234"/>
      <c r="Y17" s="233"/>
      <c r="Z17" s="90" t="str">
        <f>IF(AND(AG17&lt;&gt;"",AF17=1),38,"")</f>
        <v/>
      </c>
      <c r="AA17" s="117" t="b">
        <f>IF(AND(AG17="A",AF17=1),50000,IF(OR(AG17="ج",AG17="ر1",AG17="ر2"),IF(AF17=1,IF(OR($F$5=$AO$8,$F$5=$AO$9),0,IF(OR($F$5=$AO$1,$F$5=$AO$2,$F$5=$AO$5,$F$5=$AO$6),IF(AG17="ج",20000,IF(AG17="ر1",28000,IF(AG17="ر2",36000,""))),IF(OR($F$5=$AO$3,$F$5=$AO$7),IF(AG17="ج",12500,IF(AG17="ر1",17500,IF(AG17="ر2",22500,""))),IF($F$5=$AO$4,500,IF(AG17="ج",25000,IF(AG17="ر1",35000,IF(AG17="ر2",45000,""))))))))))</f>
        <v>0</v>
      </c>
      <c r="AB17" s="128">
        <v>470</v>
      </c>
      <c r="AC17" s="335" t="s">
        <v>240</v>
      </c>
      <c r="AD17" s="336"/>
      <c r="AE17" s="337"/>
      <c r="AF17" s="234"/>
      <c r="AG17" s="233"/>
      <c r="AH17" s="343"/>
      <c r="AI17" s="343"/>
      <c r="AJ17" s="343"/>
      <c r="AK17" s="84"/>
      <c r="AL17" s="39" t="str">
        <f>IF(J12&lt;&gt;"",J12,"")</f>
        <v/>
      </c>
      <c r="AM17">
        <v>10</v>
      </c>
      <c r="AU17" s="54">
        <v>13</v>
      </c>
      <c r="AV17" s="54">
        <f t="shared" si="4"/>
        <v>220</v>
      </c>
      <c r="AW17" s="54" t="str">
        <f t="shared" si="4"/>
        <v xml:space="preserve">تكنلوجيا الاتصال والمعلومات </v>
      </c>
      <c r="AX17" s="52">
        <f t="shared" si="5"/>
        <v>0</v>
      </c>
      <c r="AY17" s="52">
        <f t="shared" si="5"/>
        <v>0</v>
      </c>
      <c r="BB17" s="54"/>
      <c r="BC17" s="54"/>
      <c r="BD17" s="54"/>
    </row>
    <row r="18" spans="1:56" ht="24" customHeight="1" thickTop="1" thickBot="1" x14ac:dyDescent="0.3">
      <c r="A18" t="str">
        <f>IF(AND(I18&lt;&gt;"",H18=1),14,"")</f>
        <v/>
      </c>
      <c r="B18" s="117" t="b">
        <f>IF(AND(I18="A",H18=1),50000,IF(OR(I18="ج",I18="ر1",I18="ر2"),IF(H18=1,IF(OR($F$5=$AO$8,$F$5=$AO$9),0,IF(OR($F$5=$AO$1,$F$5=$AO$2,$F$5=$AO$5,$F$5=$AO$6),IF(I18="ج",20000,IF(I18="ر1",28000,IF(I18="ر2",36000,""))),IF(OR($F$5=$AO$3,$F$5=$AO$7),IF(I18="ج",12500,IF(I18="ر1",17500,IF(I18="ر2",22500,""))),IF($F$5=$AO$4,500,IF(I18="ج",25000,IF(I18="ر1",35000,IF(I18="ر2",45000,""))))))))))</f>
        <v>0</v>
      </c>
      <c r="C18" s="128">
        <v>230</v>
      </c>
      <c r="D18" s="344" t="s">
        <v>226</v>
      </c>
      <c r="E18" s="344"/>
      <c r="F18" s="344"/>
      <c r="G18" s="344"/>
      <c r="H18" s="234"/>
      <c r="I18" s="233"/>
      <c r="J18" s="88" t="str">
        <f>IF(AND(Q18&lt;&gt;"",P18=1),19,"")</f>
        <v/>
      </c>
      <c r="K18" s="117" t="b">
        <f>IF(AND(Q18="A",P18=1),50000,IF(OR(Q18="ج",Q18="ر1",Q18="ر2"),IF(P18=1,IF(OR($F$5=$AO$8,$F$5=$AO$9),0,IF(OR($F$5=$AO$1,$F$5=$AO$2,$F$5=$AO$5,$F$5=$AO$6),IF(Q18="ج",20000,IF(Q18="ر1",28000,IF(Q18="ر2",36000,""))),IF(OR($F$5=$AO$3,$F$5=$AO$7),IF(Q18="ج",12500,IF(Q18="ر1",17500,IF(Q18="ر2",22500,""))),IF($F$5=$AO$4,500,IF(Q18="ج",25000,IF(Q18="ر1",35000,IF(Q18="ر2",45000,""))))))))))</f>
        <v>0</v>
      </c>
      <c r="L18" s="128">
        <v>280</v>
      </c>
      <c r="M18" s="344" t="s">
        <v>231</v>
      </c>
      <c r="N18" s="344"/>
      <c r="O18" s="344"/>
      <c r="P18" s="234"/>
      <c r="Q18" s="233"/>
      <c r="R18" s="59" t="str">
        <f>IF(AND(Y18&lt;&gt;"",X18=1),34,"")</f>
        <v/>
      </c>
      <c r="S18" s="117" t="b">
        <f>IF(AND(Y18="A",X18=1),50000,IF(OR(Y18="ج",Y18="ر1",Y18="ر2"),IF(X18=1,IF(OR($F$5=$AO$8,$F$5=$AO$9),0,IF(OR($F$5=$AO$1,$F$5=$AO$2,$F$5=$AO$5,$F$5=$AO$6),IF(Y18="ج",20000,IF(Y18="ر1",28000,IF(Y18="ر2",36000,""))),IF(OR($F$5=$AO$3,$F$5=$AO$7),IF(Y18="ج",12500,IF(Y18="ر1",17500,IF(Y18="ر2",22500,""))),IF($F$5=$AO$4,500,IF(Y18="ج",25000,IF(Y18="ر1",35000,IF(Y18="ر2",45000,""))))))))))</f>
        <v>0</v>
      </c>
      <c r="T18" s="128">
        <v>430</v>
      </c>
      <c r="U18" s="344" t="s">
        <v>236</v>
      </c>
      <c r="V18" s="344"/>
      <c r="W18" s="344"/>
      <c r="X18" s="234"/>
      <c r="Y18" s="233"/>
      <c r="Z18" s="90" t="str">
        <f>IF(AND(AG18&lt;&gt;"",AF18=1),39,"")</f>
        <v/>
      </c>
      <c r="AA18" s="117" t="b">
        <f>IF(AND(AG18="A",AF18=1),50000,IF(OR(AG18="ج",AG18="ر1",AG18="ر2"),IF(AF18=1,IF(OR($F$5=$AO$8,$F$5=$AO$9),0,IF(OR($F$5=$AO$1,$F$5=$AO$2,$F$5=$AO$5,$F$5=$AO$6),IF(AG18="ج",20000,IF(AG18="ر1",28000,IF(AG18="ر2",36000,""))),IF(OR($F$5=$AO$3,$F$5=$AO$7),IF(AG18="ج",12500,IF(AG18="ر1",17500,IF(AG18="ر2",22500,""))),IF($F$5=$AO$4,500,IF(AG18="ج",25000,IF(AG18="ر1",35000,IF(AG18="ر2",45000,""))))))))))</f>
        <v>0</v>
      </c>
      <c r="AB18" s="128">
        <v>480</v>
      </c>
      <c r="AC18" s="335" t="s">
        <v>241</v>
      </c>
      <c r="AD18" s="336"/>
      <c r="AE18" s="337"/>
      <c r="AF18" s="234"/>
      <c r="AG18" s="233"/>
      <c r="AH18" s="343"/>
      <c r="AI18" s="343"/>
      <c r="AJ18" s="343"/>
      <c r="AK18" s="84"/>
      <c r="AL18" s="39" t="str">
        <f>IF(A15&lt;&gt;"",A15,"")</f>
        <v/>
      </c>
      <c r="AM18">
        <v>11</v>
      </c>
      <c r="AU18" s="54">
        <v>14</v>
      </c>
      <c r="AV18" s="54">
        <f t="shared" si="4"/>
        <v>230</v>
      </c>
      <c r="AW18" s="54" t="str">
        <f t="shared" si="4"/>
        <v>الترجمة الاعلامية (2)</v>
      </c>
      <c r="AX18" s="52">
        <f t="shared" si="5"/>
        <v>0</v>
      </c>
      <c r="AY18" s="52">
        <f t="shared" si="5"/>
        <v>0</v>
      </c>
      <c r="BB18" s="54"/>
      <c r="BC18" s="54"/>
      <c r="BD18" s="54"/>
    </row>
    <row r="19" spans="1:56" ht="22.2" thickTop="1" thickBot="1" x14ac:dyDescent="0.35">
      <c r="A19" t="str">
        <f>IF(AND(I19&lt;&gt;"",H19=1),15,"")</f>
        <v/>
      </c>
      <c r="B19" s="117" t="b">
        <f>IF(AND(I19="A",H19=1),50000,IF(OR(I19="ج",I19="ر1",I19="ر2"),IF(H19=1,IF(OR($F$5=$AO$8,$F$5=$AO$9),0,IF(OR($F$5=$AO$1,$F$5=$AO$2,$F$5=$AO$5,$F$5=$AO$6),IF(I19="ج",20000,IF(I19="ر1",28000,IF(I19="ر2",36000,""))),IF(OR($F$5=$AO$3,$F$5=$AO$7),IF(I19="ج",12500,IF(I19="ر1",17500,IF(I19="ر2",22500,""))),IF($F$5=$AO$4,500,IF(I19="ج",25000,IF(I19="ر1",35000,IF(I19="ر2",45000,""))))))))))</f>
        <v>0</v>
      </c>
      <c r="C19" s="129">
        <v>240</v>
      </c>
      <c r="D19" s="313" t="s">
        <v>227</v>
      </c>
      <c r="E19" s="313"/>
      <c r="F19" s="313"/>
      <c r="G19" s="313"/>
      <c r="H19" s="234"/>
      <c r="I19" s="233"/>
      <c r="J19" s="88" t="str">
        <f>IF(AND(Q19&lt;&gt;"",P19=1),20,"")</f>
        <v/>
      </c>
      <c r="K19" s="117" t="b">
        <f>IF(AND(Q19="A",P19=1),50000,IF(OR(Q19="ج",Q19="ر1",Q19="ر2"),IF(P19=1,IF(OR($F$5=$AO$8,$F$5=$AO$9),0,IF(OR($F$5=$AO$1,$F$5=$AO$2,$F$5=$AO$5,$F$5=$AO$6),IF(Q19="ج",20000,IF(Q19="ر1",28000,IF(Q19="ر2",36000,""))),IF(OR($F$5=$AO$3,$F$5=$AO$7),IF(Q19="ج",12500,IF(Q19="ر1",17500,IF(Q19="ر2",22500,""))),IF($F$5=$AO$4,500,IF(Q19="ج",25000,IF(Q19="ر1",35000,IF(Q19="ر2",45000,""))))))))))</f>
        <v>0</v>
      </c>
      <c r="L19" s="129">
        <v>290</v>
      </c>
      <c r="M19" s="313" t="s">
        <v>232</v>
      </c>
      <c r="N19" s="313"/>
      <c r="O19" s="313"/>
      <c r="P19" s="234"/>
      <c r="Q19" s="233"/>
      <c r="R19" s="59" t="str">
        <f>IF(AND(Y19&lt;&gt;"",X19=1),35,"")</f>
        <v/>
      </c>
      <c r="S19" s="117" t="b">
        <f>IF(AND(Y19="A",X19=1),50000,IF(OR(Y19="ج",Y19="ر1",Y19="ر2"),IF(X19=1,IF(OR($F$5=$AO$8,$F$5=$AO$9),0,IF(OR($F$5=$AO$1,$F$5=$AO$2,$F$5=$AO$5,$F$5=$AO$6),IF(Y19="ج",20000,IF(Y19="ر1",28000,IF(Y19="ر2",36000,""))),IF(OR($F$5=$AO$3,$F$5=$AO$7),IF(Y19="ج",12500,IF(Y19="ر1",17500,IF(Y19="ر2",22500,""))),IF($F$5=$AO$4,500,IF(Y19="ج",25000,IF(Y19="ر1",35000,IF(Y19="ر2",45000,""))))))))))</f>
        <v>0</v>
      </c>
      <c r="T19" s="129">
        <v>440</v>
      </c>
      <c r="U19" s="313" t="s">
        <v>237</v>
      </c>
      <c r="V19" s="313"/>
      <c r="W19" s="313"/>
      <c r="X19" s="234"/>
      <c r="Y19" s="233"/>
      <c r="Z19" s="90" t="str">
        <f>IF(AND(AG19&lt;&gt;"",AF19=1),40,"")</f>
        <v/>
      </c>
      <c r="AA19" s="117" t="b">
        <f>IF(AND(AG19="A",AF19=1),50000,IF(OR(AG19="ج",AG19="ر1",AG19="ر2"),IF(AF19=1,IF(OR($F$5=$AO$8,$F$5=$AO$9),0,IF(OR($F$5=$AO$1,$F$5=$AO$2,$F$5=$AO$5,$F$5=$AO$6),IF(AG19="ج",20000,IF(AG19="ر1",28000,IF(AG19="ر2",36000,""))),IF(OR($F$5=$AO$3,$F$5=$AO$7),IF(AG19="ج",12500,IF(AG19="ر1",17500,IF(AG19="ر2",22500,""))),IF($F$5=$AO$4,500,IF(AG19="ج",25000,IF(AG19="ر1",35000,IF(AG19="ر2",45000,""))))))))))</f>
        <v>0</v>
      </c>
      <c r="AB19" s="129">
        <v>490</v>
      </c>
      <c r="AC19" s="338" t="s">
        <v>242</v>
      </c>
      <c r="AD19" s="339"/>
      <c r="AE19" s="340"/>
      <c r="AF19" s="234"/>
      <c r="AG19" s="233"/>
      <c r="AH19" s="85"/>
      <c r="AI19" s="85"/>
      <c r="AJ19" s="85"/>
      <c r="AK19" s="84"/>
      <c r="AL19" s="39" t="str">
        <f>IF(A16&lt;&gt;"",A16,"")</f>
        <v/>
      </c>
      <c r="AM19">
        <v>12</v>
      </c>
      <c r="AU19" s="54">
        <v>15</v>
      </c>
      <c r="AV19" s="54">
        <f t="shared" si="4"/>
        <v>240</v>
      </c>
      <c r="AW19" s="54" t="str">
        <f t="shared" si="4"/>
        <v xml:space="preserve">التحرير الصحفي </v>
      </c>
      <c r="AX19" s="52">
        <f t="shared" si="5"/>
        <v>0</v>
      </c>
      <c r="AY19" s="52">
        <f t="shared" si="5"/>
        <v>0</v>
      </c>
      <c r="BB19" s="54"/>
      <c r="BC19" s="54"/>
      <c r="BD19" s="54"/>
    </row>
    <row r="20" spans="1:56" ht="16.2" hidden="1" thickBot="1" x14ac:dyDescent="0.35">
      <c r="B20" s="32">
        <f>SUM(B15:B19)</f>
        <v>0</v>
      </c>
      <c r="C20" s="50"/>
      <c r="D20" s="51"/>
      <c r="E20" s="51"/>
      <c r="F20" s="72">
        <f>COUNTIFS(I15:I19,"A",H15:H19,1)</f>
        <v>0</v>
      </c>
      <c r="G20" s="72">
        <f>COUNTIFS(I15:I19,$Q$30,H15:H19,1)</f>
        <v>0</v>
      </c>
      <c r="H20" s="93">
        <f>COUNTIFS(I15:I19,$W$30,H15:H19,1)</f>
        <v>0</v>
      </c>
      <c r="I20" s="94">
        <f>COUNTIFS(I15:I19,$AE$30,H15:H19,1)</f>
        <v>0</v>
      </c>
      <c r="J20" s="43"/>
      <c r="K20" s="32">
        <f>SUM(K15:K19)</f>
        <v>0</v>
      </c>
      <c r="L20" s="50"/>
      <c r="M20" s="51"/>
      <c r="N20" s="72">
        <f>COUNTIFS(Q15:Q19,"A",P15:P19,1)</f>
        <v>0</v>
      </c>
      <c r="O20" s="72">
        <f>COUNTIFS(Q15:Q19,$Q$30,P15:P19,1)</f>
        <v>0</v>
      </c>
      <c r="P20" s="93">
        <f>COUNTIFS(Q15:Q19,$W$30,P15:P19,1)</f>
        <v>0</v>
      </c>
      <c r="Q20" s="94">
        <f>COUNTIFS(Q15:Q19,$AE$30,P15:P19,1)</f>
        <v>0</v>
      </c>
      <c r="R20" s="59"/>
      <c r="S20" s="44">
        <f>SUM(S15:S19)</f>
        <v>0</v>
      </c>
      <c r="T20" s="42"/>
      <c r="U20" s="48"/>
      <c r="V20" s="72">
        <f>COUNTIFS(Y15:Y19,"A",X15:X19,1)</f>
        <v>0</v>
      </c>
      <c r="W20" s="72">
        <f>COUNTIFS(Y15:Y19,$Q$30,X15:X19,1)</f>
        <v>0</v>
      </c>
      <c r="X20" s="93">
        <f>COUNTIFS(Y15:Y19,$W$30,X15:X19,1)</f>
        <v>0</v>
      </c>
      <c r="Y20" s="94">
        <f>COUNTIFS(Y15:Y19,$AE$30,X15:X19,1)</f>
        <v>0</v>
      </c>
      <c r="Z20" s="45"/>
      <c r="AA20" s="44">
        <f>SUM(AA15:AA19)</f>
        <v>0</v>
      </c>
      <c r="AB20" s="48"/>
      <c r="AC20" s="48"/>
      <c r="AD20" s="72">
        <f>COUNTIFS(AG15:AG19,"A",AF15:AF19,1)</f>
        <v>0</v>
      </c>
      <c r="AE20" s="72">
        <f>COUNTIFS(AG15:AG19,$Q$30,AF15:AF19,1)</f>
        <v>0</v>
      </c>
      <c r="AF20" s="93">
        <f>COUNTIFS(AG15:AG19,$W$30,AF15:AF19,1)</f>
        <v>0</v>
      </c>
      <c r="AG20" s="94">
        <f>COUNTIFS(AG15:AG19,$AE$30,AF15:AF19,1)</f>
        <v>0</v>
      </c>
      <c r="AH20" s="85"/>
      <c r="AI20" s="85"/>
      <c r="AJ20" s="85"/>
      <c r="AK20" s="84"/>
      <c r="AL20" s="39" t="str">
        <f>IF(A17&lt;&gt;"",A17,"")</f>
        <v/>
      </c>
      <c r="AM20">
        <v>13</v>
      </c>
      <c r="AU20" s="54">
        <v>16</v>
      </c>
      <c r="AV20" s="54">
        <f t="shared" ref="AV20:AW24" si="6">L15</f>
        <v>250</v>
      </c>
      <c r="AW20" s="54" t="str">
        <f t="shared" si="6"/>
        <v>مادة اعلامية بلغة اجنبية (2)</v>
      </c>
      <c r="AX20" s="52">
        <f t="shared" ref="AX20:AY24" si="7">P15</f>
        <v>0</v>
      </c>
      <c r="AY20" s="52">
        <f t="shared" si="7"/>
        <v>0</v>
      </c>
      <c r="BB20" s="54"/>
      <c r="BC20" s="54"/>
    </row>
    <row r="21" spans="1:56" ht="16.8" hidden="1" thickTop="1" thickBot="1" x14ac:dyDescent="0.35">
      <c r="T21" s="38">
        <f>B13+B20+K13+K20+S13+S20+AA13+AA20</f>
        <v>0</v>
      </c>
      <c r="AH21" s="85"/>
      <c r="AI21" s="85"/>
      <c r="AJ21" s="85"/>
      <c r="AK21" s="84"/>
      <c r="AL21" s="39" t="str">
        <f>IF(A18&lt;&gt;"",A18,"")</f>
        <v/>
      </c>
      <c r="AM21">
        <v>14</v>
      </c>
      <c r="AU21" s="54">
        <v>17</v>
      </c>
      <c r="AV21" s="54">
        <f t="shared" si="6"/>
        <v>260</v>
      </c>
      <c r="AW21" s="54" t="str">
        <f t="shared" si="6"/>
        <v xml:space="preserve">الكتابة للإذاعة والتلفزيون </v>
      </c>
      <c r="AX21" s="52">
        <f t="shared" si="7"/>
        <v>0</v>
      </c>
      <c r="AY21" s="52">
        <f t="shared" si="7"/>
        <v>0</v>
      </c>
      <c r="BB21" s="54"/>
      <c r="BC21" s="54"/>
    </row>
    <row r="22" spans="1:56" ht="16.8" hidden="1" thickTop="1" thickBot="1" x14ac:dyDescent="0.35">
      <c r="R22" s="47"/>
      <c r="S22" s="44"/>
      <c r="U22" s="60"/>
      <c r="V22" s="60"/>
      <c r="W22" s="60"/>
      <c r="X22" s="61"/>
      <c r="Y22" s="37"/>
      <c r="Z22" s="62"/>
      <c r="AA22" s="44"/>
      <c r="AB22" s="60"/>
      <c r="AC22" s="60"/>
      <c r="AD22" s="60"/>
      <c r="AE22" s="60"/>
      <c r="AF22" s="61"/>
      <c r="AG22" s="37"/>
      <c r="AH22" s="85"/>
      <c r="AI22" s="85"/>
      <c r="AJ22" s="85"/>
      <c r="AK22" s="84"/>
      <c r="AL22" s="39" t="str">
        <f>IF(A19&lt;&gt;"",A19,"")</f>
        <v/>
      </c>
      <c r="AM22">
        <v>15</v>
      </c>
      <c r="AU22" s="54">
        <v>18</v>
      </c>
      <c r="AV22" s="54">
        <f t="shared" si="6"/>
        <v>270</v>
      </c>
      <c r="AW22" s="54" t="str">
        <f t="shared" si="6"/>
        <v xml:space="preserve">ادارة الاعلان واقتصادياته </v>
      </c>
      <c r="AX22" s="52">
        <f t="shared" si="7"/>
        <v>0</v>
      </c>
      <c r="AY22" s="52">
        <f t="shared" si="7"/>
        <v>0</v>
      </c>
      <c r="BB22" s="54"/>
      <c r="BC22" s="54"/>
    </row>
    <row r="23" spans="1:56" ht="16.8" hidden="1" thickTop="1" thickBot="1" x14ac:dyDescent="0.35">
      <c r="B23" s="23"/>
      <c r="D23" s="23"/>
      <c r="E23" s="23"/>
      <c r="F23" s="23"/>
      <c r="G23" s="23"/>
      <c r="H23" s="23"/>
      <c r="I23" s="23"/>
      <c r="J23" s="23"/>
      <c r="K23" s="47"/>
      <c r="P23" s="61"/>
      <c r="Q23" s="37"/>
      <c r="R23" s="47"/>
      <c r="AH23" s="85"/>
      <c r="AI23" s="85"/>
      <c r="AJ23" s="85"/>
      <c r="AK23" s="84"/>
      <c r="AL23" s="39" t="str">
        <f>IF(J15&lt;&gt;"",J15,"")</f>
        <v/>
      </c>
      <c r="AM23">
        <v>16</v>
      </c>
      <c r="AU23" s="54">
        <v>19</v>
      </c>
      <c r="AV23" s="54">
        <f t="shared" si="6"/>
        <v>280</v>
      </c>
      <c r="AW23" s="54" t="str">
        <f t="shared" si="6"/>
        <v xml:space="preserve">ادارة وتخطيط العلاقات العامة </v>
      </c>
      <c r="AX23" s="52">
        <f t="shared" si="7"/>
        <v>0</v>
      </c>
      <c r="AY23" s="52">
        <f t="shared" si="7"/>
        <v>0</v>
      </c>
      <c r="BB23" s="54"/>
      <c r="BC23" s="54"/>
    </row>
    <row r="24" spans="1:56" ht="16.2" thickBot="1" x14ac:dyDescent="0.3">
      <c r="Q24">
        <f>COUNTIF(I8:I12,"A")</f>
        <v>0</v>
      </c>
      <c r="AH24" s="84"/>
      <c r="AI24" s="84"/>
      <c r="AJ24" s="84"/>
      <c r="AK24" s="84"/>
      <c r="AL24" s="39" t="str">
        <f>IF(J16&lt;&gt;"",J16,"")</f>
        <v/>
      </c>
      <c r="AM24">
        <v>17</v>
      </c>
      <c r="AU24" s="54">
        <v>20</v>
      </c>
      <c r="AV24" s="54">
        <f t="shared" si="6"/>
        <v>290</v>
      </c>
      <c r="AW24" s="54" t="str">
        <f t="shared" si="6"/>
        <v xml:space="preserve">نظرية الاتصال </v>
      </c>
      <c r="AX24" s="52">
        <f t="shared" si="7"/>
        <v>0</v>
      </c>
      <c r="AY24" s="52">
        <f t="shared" si="7"/>
        <v>0</v>
      </c>
      <c r="AZ24"/>
      <c r="BA24"/>
      <c r="BB24" s="54"/>
      <c r="BC24" s="54"/>
    </row>
    <row r="25" spans="1:56" ht="24.75" customHeight="1" thickTop="1" thickBot="1" x14ac:dyDescent="0.35">
      <c r="A25" s="224"/>
      <c r="B25" s="223"/>
      <c r="C25" s="315" t="str">
        <f>IF(E3="أنثى","منقطعة عن التسجيل في","منقطع عن التسجيل في")</f>
        <v>منقطع عن التسجيل في</v>
      </c>
      <c r="D25" s="315"/>
      <c r="E25" s="315"/>
      <c r="F25" s="315"/>
      <c r="G25" s="315"/>
      <c r="H25" s="315"/>
      <c r="I25" s="1"/>
      <c r="J25" s="1"/>
      <c r="K25" s="311" t="s">
        <v>75</v>
      </c>
      <c r="L25" s="312"/>
      <c r="M25" s="312"/>
      <c r="N25" s="314">
        <f>IF(N27&gt;0,37000,12000)</f>
        <v>12000</v>
      </c>
      <c r="O25" s="314"/>
      <c r="P25" s="314"/>
      <c r="Q25" s="314"/>
      <c r="R25" s="160"/>
      <c r="S25" s="391" t="s">
        <v>147</v>
      </c>
      <c r="T25" s="392"/>
      <c r="U25" s="393"/>
      <c r="V25" s="382">
        <f>AB5</f>
        <v>0</v>
      </c>
      <c r="W25" s="383"/>
      <c r="X25" s="384"/>
      <c r="Y25" s="309" t="s">
        <v>76</v>
      </c>
      <c r="Z25" s="309"/>
      <c r="AA25" s="309"/>
      <c r="AB25" s="309"/>
      <c r="AC25" s="309"/>
      <c r="AD25" s="320">
        <f>G13+G20+O13+O20+W13+W20+AE13+AE20</f>
        <v>0</v>
      </c>
      <c r="AE25" s="320"/>
      <c r="AF25" s="320"/>
      <c r="AH25" s="84"/>
      <c r="AI25" s="84"/>
      <c r="AJ25" s="84"/>
      <c r="AK25" s="84"/>
      <c r="AL25" s="39" t="str">
        <f>IF(J17&lt;&gt;"",J17,"")</f>
        <v/>
      </c>
      <c r="AM25">
        <v>18</v>
      </c>
      <c r="AU25" s="54">
        <v>21</v>
      </c>
      <c r="AV25" s="54">
        <f>T8</f>
        <v>300</v>
      </c>
      <c r="AW25" s="63" t="str">
        <f>U8</f>
        <v xml:space="preserve">الإعلام الدولي </v>
      </c>
      <c r="AX25" s="52">
        <f>X8</f>
        <v>0</v>
      </c>
      <c r="AY25" s="52">
        <f>Y8</f>
        <v>0</v>
      </c>
      <c r="AZ25"/>
      <c r="BA25"/>
      <c r="BB25" s="63"/>
      <c r="BC25" s="63"/>
    </row>
    <row r="26" spans="1:56" ht="23.25" customHeight="1" thickTop="1" thickBot="1" x14ac:dyDescent="0.35">
      <c r="A26" s="223" t="str">
        <f>IFERROR(SMALL($B$36:$B$46,'اختيار المقررات'!AM8),"")</f>
        <v/>
      </c>
      <c r="C26" s="315" t="str">
        <f t="shared" ref="C26:C36" si="8">IFERROR(VLOOKUP(A26,C$47:D$57,2,0),"")</f>
        <v/>
      </c>
      <c r="D26" s="315"/>
      <c r="E26" s="315"/>
      <c r="F26" s="315"/>
      <c r="G26" s="315"/>
      <c r="H26" s="315"/>
      <c r="I26" s="1"/>
      <c r="J26" s="1"/>
      <c r="K26" s="311" t="s">
        <v>25</v>
      </c>
      <c r="L26" s="312"/>
      <c r="M26" s="312"/>
      <c r="N26" s="314">
        <f>IF(E2="الرابعة حديث",50000,0)</f>
        <v>0</v>
      </c>
      <c r="O26" s="314"/>
      <c r="P26" s="314"/>
      <c r="Q26" s="314"/>
      <c r="R26" s="160"/>
      <c r="S26" s="394"/>
      <c r="T26" s="395"/>
      <c r="U26" s="396"/>
      <c r="V26" s="385"/>
      <c r="W26" s="386"/>
      <c r="X26" s="387"/>
      <c r="Y26" s="310" t="s">
        <v>77</v>
      </c>
      <c r="Z26" s="310"/>
      <c r="AA26" s="310"/>
      <c r="AB26" s="310"/>
      <c r="AC26" s="310"/>
      <c r="AD26" s="319">
        <f>H13+H20+P13+P20+X13+X20+AF13+AF20</f>
        <v>0</v>
      </c>
      <c r="AE26" s="320"/>
      <c r="AF26" s="321"/>
      <c r="AH26" s="84"/>
      <c r="AI26" s="84"/>
      <c r="AJ26" s="84"/>
      <c r="AK26" s="84"/>
      <c r="AL26" s="39" t="str">
        <f>IF(J18&lt;&gt;"",J18,"")</f>
        <v/>
      </c>
      <c r="AM26">
        <v>19</v>
      </c>
      <c r="AU26" s="54">
        <v>22</v>
      </c>
      <c r="AV26" s="54">
        <f>T9</f>
        <v>310</v>
      </c>
      <c r="AW26" s="63" t="str">
        <f>U9</f>
        <v xml:space="preserve">التخطيط الاعلامي </v>
      </c>
      <c r="AX26" s="52">
        <f>X9</f>
        <v>0</v>
      </c>
      <c r="AY26" s="52">
        <f>Y9</f>
        <v>0</v>
      </c>
      <c r="AZ26"/>
      <c r="BA26"/>
      <c r="BB26" s="63"/>
      <c r="BC26" s="63"/>
    </row>
    <row r="27" spans="1:56" ht="23.25" customHeight="1" thickTop="1" thickBot="1" x14ac:dyDescent="0.35">
      <c r="A27" s="223" t="str">
        <f>IFERROR(SMALL($B$36:$B$46,'اختيار المقررات'!AM9),"")</f>
        <v/>
      </c>
      <c r="C27" s="315" t="str">
        <f t="shared" si="8"/>
        <v/>
      </c>
      <c r="D27" s="315"/>
      <c r="E27" s="315"/>
      <c r="F27" s="315"/>
      <c r="G27" s="315"/>
      <c r="H27" s="315"/>
      <c r="I27" s="1"/>
      <c r="J27" s="1"/>
      <c r="K27" s="311" t="s">
        <v>132</v>
      </c>
      <c r="L27" s="312"/>
      <c r="M27" s="312"/>
      <c r="N27" s="314">
        <v>0</v>
      </c>
      <c r="O27" s="314"/>
      <c r="P27" s="314"/>
      <c r="Q27" s="314"/>
      <c r="R27" s="161">
        <f>IF(AND(Y28&lt;&gt;"",Y28&lt;&gt;"ضعف الرسوم"),1,0)</f>
        <v>1</v>
      </c>
      <c r="S27" s="397"/>
      <c r="T27" s="398"/>
      <c r="U27" s="399"/>
      <c r="V27" s="388"/>
      <c r="W27" s="389"/>
      <c r="X27" s="390"/>
      <c r="Y27" s="310" t="str">
        <f>IF(R27=1,"عدد المقررات المسجلة","عدد المقررات المسجلة لأكثر من مرتين")</f>
        <v>عدد المقررات المسجلة</v>
      </c>
      <c r="Z27" s="310"/>
      <c r="AA27" s="310"/>
      <c r="AB27" s="310"/>
      <c r="AC27" s="310"/>
      <c r="AD27" s="319">
        <f>IF(R27=1,SUM(F13,N13,V13,AD13,AD20,V20,N20,F20),I13+I20+Q13+Q20+Y13+Y20+AG13+AG20)</f>
        <v>0</v>
      </c>
      <c r="AE27" s="320"/>
      <c r="AF27" s="321"/>
      <c r="AL27" s="39"/>
      <c r="AU27" s="54"/>
      <c r="AV27" s="54"/>
      <c r="AW27" s="63"/>
      <c r="AX27" s="52"/>
      <c r="AY27" s="52"/>
      <c r="AZ27"/>
      <c r="BA27"/>
      <c r="BB27" s="63"/>
      <c r="BC27" s="63"/>
    </row>
    <row r="28" spans="1:56" ht="19.5" customHeight="1" thickTop="1" thickBot="1" x14ac:dyDescent="0.35">
      <c r="A28" s="223" t="str">
        <f>IFERROR(SMALL($B$36:$B$46,'اختيار المقررات'!AM10),"")</f>
        <v/>
      </c>
      <c r="C28" s="315" t="str">
        <f t="shared" si="8"/>
        <v/>
      </c>
      <c r="D28" s="315"/>
      <c r="E28" s="315"/>
      <c r="F28" s="315"/>
      <c r="G28" s="315"/>
      <c r="H28" s="315"/>
      <c r="I28" s="221"/>
      <c r="J28" s="1"/>
      <c r="K28" s="311" t="s">
        <v>133</v>
      </c>
      <c r="L28" s="312"/>
      <c r="M28" s="312"/>
      <c r="N28" s="314">
        <f>IF(Y28="ضعف الرسوم",T21*2,T21)</f>
        <v>0</v>
      </c>
      <c r="O28" s="314"/>
      <c r="P28" s="314"/>
      <c r="Q28" s="314"/>
      <c r="R28" s="160"/>
      <c r="S28" s="324" t="s">
        <v>20</v>
      </c>
      <c r="T28" s="324"/>
      <c r="U28" s="324"/>
      <c r="V28" s="328" t="s">
        <v>88</v>
      </c>
      <c r="W28" s="329"/>
      <c r="X28" s="330"/>
      <c r="Y28" s="353">
        <f>'إدخال البيانات'!F1</f>
        <v>0</v>
      </c>
      <c r="Z28" s="354"/>
      <c r="AA28" s="354"/>
      <c r="AB28" s="354"/>
      <c r="AC28" s="354"/>
      <c r="AD28" s="354"/>
      <c r="AE28" s="354"/>
      <c r="AF28" s="355"/>
      <c r="AL28" s="39" t="str">
        <f>IF(J19&lt;&gt;"",J19,"")</f>
        <v/>
      </c>
      <c r="AM28">
        <v>20</v>
      </c>
      <c r="AU28" s="54">
        <v>23</v>
      </c>
      <c r="AV28" s="54">
        <f t="shared" ref="AV28:AW30" si="9">T10</f>
        <v>320</v>
      </c>
      <c r="AW28" s="63" t="str">
        <f t="shared" si="9"/>
        <v xml:space="preserve">الاخراج الصحفي </v>
      </c>
      <c r="AX28" s="52">
        <f t="shared" ref="AX28:AY30" si="10">X10</f>
        <v>0</v>
      </c>
      <c r="AY28" s="52">
        <f t="shared" si="10"/>
        <v>0</v>
      </c>
      <c r="AZ28"/>
      <c r="BA28"/>
      <c r="BB28" s="54"/>
      <c r="BC28" s="54"/>
    </row>
    <row r="29" spans="1:56" ht="23.25" customHeight="1" thickTop="1" thickBot="1" x14ac:dyDescent="0.35">
      <c r="A29" s="223" t="str">
        <f>IFERROR(SMALL($B$36:$B$46,'اختيار المقررات'!AM11),"")</f>
        <v/>
      </c>
      <c r="C29" s="315" t="str">
        <f t="shared" si="8"/>
        <v/>
      </c>
      <c r="D29" s="315"/>
      <c r="E29" s="315"/>
      <c r="F29" s="315"/>
      <c r="G29" s="315"/>
      <c r="H29" s="315"/>
      <c r="I29" s="222"/>
      <c r="J29" s="1"/>
      <c r="K29" s="311" t="s">
        <v>23</v>
      </c>
      <c r="L29" s="312"/>
      <c r="M29" s="312"/>
      <c r="N29" s="314">
        <f>SUM(N25:Q28)-V25+I29</f>
        <v>12000</v>
      </c>
      <c r="O29" s="314"/>
      <c r="P29" s="314"/>
      <c r="Q29" s="314"/>
      <c r="R29" s="160"/>
      <c r="S29" s="324" t="s">
        <v>24</v>
      </c>
      <c r="T29" s="324"/>
      <c r="U29" s="324"/>
      <c r="V29" s="358">
        <f>IF(N29&lt;10000,N29,IF(V28="نعم",(الإستمارة!T1+الإستمارة!T2)+N25+(N29-(الإستمارة!T1+الإستمارة!T2)-N25)/2,N29))</f>
        <v>12000</v>
      </c>
      <c r="W29" s="359"/>
      <c r="X29" s="360"/>
      <c r="Y29" s="324" t="s">
        <v>26</v>
      </c>
      <c r="Z29" s="324"/>
      <c r="AA29" s="324"/>
      <c r="AB29" s="324"/>
      <c r="AC29" s="322">
        <f>N29-V29</f>
        <v>0</v>
      </c>
      <c r="AD29" s="314"/>
      <c r="AE29" s="314"/>
      <c r="AF29" s="323"/>
      <c r="AG29">
        <f>SUM(AD25:AF27)</f>
        <v>0</v>
      </c>
      <c r="AL29" s="39" t="str">
        <f>IF(R8&lt;&gt;"",R8,"")</f>
        <v/>
      </c>
      <c r="AM29">
        <v>21</v>
      </c>
      <c r="AU29" s="54">
        <v>24</v>
      </c>
      <c r="AV29" s="54">
        <f t="shared" si="9"/>
        <v>330</v>
      </c>
      <c r="AW29" s="63" t="str">
        <f t="shared" si="9"/>
        <v>الترجمة الاعلامية  (3)</v>
      </c>
      <c r="AX29" s="52">
        <f t="shared" si="10"/>
        <v>0</v>
      </c>
      <c r="AY29" s="52">
        <f t="shared" si="10"/>
        <v>0</v>
      </c>
      <c r="AZ29"/>
      <c r="BA29"/>
      <c r="BB29" s="54"/>
      <c r="BC29" s="54"/>
    </row>
    <row r="30" spans="1:56" s="33" customFormat="1" ht="17.25" customHeight="1" thickTop="1" thickBot="1" x14ac:dyDescent="0.35">
      <c r="A30" s="223" t="str">
        <f>IFERROR(SMALL($B$36:$B$46,'اختيار المقررات'!AM12),"")</f>
        <v/>
      </c>
      <c r="C30" s="315" t="str">
        <f t="shared" si="8"/>
        <v/>
      </c>
      <c r="D30" s="315"/>
      <c r="E30" s="315"/>
      <c r="F30" s="315"/>
      <c r="G30" s="315"/>
      <c r="H30" s="315"/>
      <c r="I30" s="95"/>
      <c r="J30" s="95"/>
      <c r="K30" s="317" t="s">
        <v>80</v>
      </c>
      <c r="L30" s="317"/>
      <c r="M30" s="317"/>
      <c r="N30" s="317"/>
      <c r="O30" s="317"/>
      <c r="P30" s="317"/>
      <c r="Q30" s="318" t="s">
        <v>69</v>
      </c>
      <c r="R30" s="318"/>
      <c r="S30" s="318"/>
      <c r="T30" s="317" t="s">
        <v>81</v>
      </c>
      <c r="U30" s="317"/>
      <c r="V30" s="317"/>
      <c r="W30" s="317" t="s">
        <v>70</v>
      </c>
      <c r="X30" s="317"/>
      <c r="Y30" s="317" t="s">
        <v>82</v>
      </c>
      <c r="Z30" s="317"/>
      <c r="AA30" s="317"/>
      <c r="AB30" s="317"/>
      <c r="AC30" s="317"/>
      <c r="AD30" s="317"/>
      <c r="AE30" s="96" t="s">
        <v>68</v>
      </c>
      <c r="AF30" s="96"/>
      <c r="AG30" s="95"/>
      <c r="AL30" s="39" t="str">
        <f>IF(R9&lt;&gt;"",R9,"")</f>
        <v/>
      </c>
      <c r="AM30">
        <v>22</v>
      </c>
      <c r="AU30" s="54">
        <v>25</v>
      </c>
      <c r="AV30" s="54">
        <f t="shared" si="9"/>
        <v>340</v>
      </c>
      <c r="AW30" s="63" t="str">
        <f t="shared" si="9"/>
        <v xml:space="preserve">الاخراج الاذاعي والتلفزيوني </v>
      </c>
      <c r="AX30" s="52">
        <f t="shared" si="10"/>
        <v>0</v>
      </c>
      <c r="AY30" s="52">
        <f t="shared" si="10"/>
        <v>0</v>
      </c>
      <c r="BB30" s="54"/>
      <c r="BC30" s="54"/>
    </row>
    <row r="31" spans="1:56" s="33" customFormat="1" ht="24.75" customHeight="1" thickTop="1" thickBot="1" x14ac:dyDescent="0.35">
      <c r="A31" s="223" t="str">
        <f>IFERROR(SMALL($B$36:$B$46,'اختيار المقررات'!AM13),"")</f>
        <v/>
      </c>
      <c r="C31" s="315" t="str">
        <f t="shared" si="8"/>
        <v/>
      </c>
      <c r="D31" s="315"/>
      <c r="E31" s="315"/>
      <c r="F31" s="315"/>
      <c r="G31" s="315"/>
      <c r="H31" s="315"/>
      <c r="I31" s="95"/>
      <c r="J31" s="95"/>
      <c r="K31" s="316" t="s">
        <v>134</v>
      </c>
      <c r="L31" s="316"/>
      <c r="M31" s="316"/>
      <c r="N31" s="316"/>
      <c r="O31" s="316"/>
      <c r="P31" s="316"/>
      <c r="Q31" s="316"/>
      <c r="R31" s="316"/>
      <c r="S31" s="316"/>
      <c r="T31" s="316"/>
      <c r="U31" s="316"/>
      <c r="V31" s="316"/>
      <c r="W31" s="316"/>
      <c r="X31" s="316"/>
      <c r="Y31" s="316"/>
      <c r="Z31" s="316"/>
      <c r="AA31" s="316"/>
      <c r="AB31" s="316"/>
      <c r="AC31" s="316"/>
      <c r="AD31" s="316"/>
      <c r="AE31" s="316"/>
      <c r="AF31" s="316"/>
      <c r="AG31" s="316"/>
      <c r="AL31" s="39" t="str">
        <f>IF(R10&lt;&gt;"",R10,"")</f>
        <v/>
      </c>
      <c r="AM31">
        <v>23</v>
      </c>
      <c r="AU31" s="54">
        <v>26</v>
      </c>
      <c r="AV31" s="54">
        <f t="shared" ref="AV31:AW35" si="11">AB8</f>
        <v>350</v>
      </c>
      <c r="AW31" s="54" t="str">
        <f t="shared" si="11"/>
        <v xml:space="preserve">البرامج التعليمية والثقافية </v>
      </c>
      <c r="AX31" s="52">
        <f t="shared" ref="AX31:AY35" si="12">AF8</f>
        <v>0</v>
      </c>
      <c r="AY31" s="52">
        <f t="shared" si="12"/>
        <v>0</v>
      </c>
      <c r="BB31" s="54"/>
      <c r="BC31" s="54"/>
    </row>
    <row r="32" spans="1:56" s="33" customFormat="1" ht="16.8" thickTop="1" thickBot="1" x14ac:dyDescent="0.35">
      <c r="A32" s="223" t="str">
        <f>IFERROR(SMALL($B$36:$B$46,'اختيار المقررات'!AM14),"")</f>
        <v/>
      </c>
      <c r="C32" s="315" t="str">
        <f t="shared" si="8"/>
        <v/>
      </c>
      <c r="D32" s="315"/>
      <c r="E32" s="315"/>
      <c r="F32" s="315"/>
      <c r="G32" s="315"/>
      <c r="H32" s="315"/>
      <c r="I32" s="3"/>
      <c r="J32" s="3"/>
      <c r="K32" s="3"/>
      <c r="L32" s="3"/>
      <c r="M32" s="3"/>
      <c r="N32" s="3"/>
      <c r="O32" s="3"/>
      <c r="P32" s="3"/>
      <c r="Q32" s="3"/>
      <c r="R32" s="3"/>
      <c r="S32" s="3"/>
      <c r="T32" s="3"/>
      <c r="U32" s="3"/>
      <c r="V32" s="3"/>
      <c r="W32" s="3"/>
      <c r="X32" s="3"/>
      <c r="Y32" s="3"/>
      <c r="Z32" s="3"/>
      <c r="AA32" s="3"/>
      <c r="AB32" s="3"/>
      <c r="AC32" s="3"/>
      <c r="AD32" s="3"/>
      <c r="AE32" s="3"/>
      <c r="AF32" s="3"/>
      <c r="AG32" s="3"/>
      <c r="AL32" s="39" t="str">
        <f>IF(R11&lt;&gt;"",R11,"")</f>
        <v/>
      </c>
      <c r="AM32">
        <v>24</v>
      </c>
      <c r="AU32" s="54">
        <v>27</v>
      </c>
      <c r="AV32" s="54">
        <f t="shared" si="11"/>
        <v>360</v>
      </c>
      <c r="AW32" s="54" t="str">
        <f t="shared" si="11"/>
        <v xml:space="preserve">فن الاعلان  </v>
      </c>
      <c r="AX32" s="52">
        <f t="shared" si="12"/>
        <v>0</v>
      </c>
      <c r="AY32" s="52">
        <f t="shared" si="12"/>
        <v>0</v>
      </c>
      <c r="BB32" s="63"/>
      <c r="BC32" s="63"/>
    </row>
    <row r="33" spans="1:55" s="33" customFormat="1" ht="17.25" customHeight="1" thickTop="1" thickBot="1" x14ac:dyDescent="0.35">
      <c r="A33" s="223" t="str">
        <f>IFERROR(SMALL($B$36:$B$46,'اختيار المقررات'!AM15),"")</f>
        <v/>
      </c>
      <c r="C33" s="315" t="str">
        <f t="shared" si="8"/>
        <v/>
      </c>
      <c r="D33" s="315"/>
      <c r="E33" s="315"/>
      <c r="F33" s="315"/>
      <c r="G33" s="315"/>
      <c r="H33" s="315"/>
      <c r="I33" s="3"/>
      <c r="J33" s="3"/>
      <c r="K33" s="3"/>
      <c r="L33" s="3"/>
      <c r="M33" s="3"/>
      <c r="N33" s="3"/>
      <c r="O33" s="3"/>
      <c r="P33" s="3"/>
      <c r="Q33" s="3"/>
      <c r="R33" s="3"/>
      <c r="S33" s="3"/>
      <c r="T33" s="3"/>
      <c r="U33" s="3"/>
      <c r="V33" s="3"/>
      <c r="W33" s="3"/>
      <c r="X33" s="3"/>
      <c r="Y33" s="3"/>
      <c r="Z33" s="3"/>
      <c r="AA33" s="3"/>
      <c r="AB33" s="3"/>
      <c r="AC33" s="3"/>
      <c r="AD33" s="3"/>
      <c r="AE33" s="3"/>
      <c r="AF33" s="3"/>
      <c r="AG33" s="3"/>
      <c r="AL33" s="39" t="str">
        <f>IF(R12&lt;&gt;"",R12,"")</f>
        <v/>
      </c>
      <c r="AM33">
        <v>25</v>
      </c>
      <c r="AU33" s="54">
        <v>28</v>
      </c>
      <c r="AV33" s="54">
        <f t="shared" si="11"/>
        <v>370</v>
      </c>
      <c r="AW33" s="54" t="str">
        <f t="shared" si="11"/>
        <v xml:space="preserve">العلاقات العامة في المجال التطبيقي </v>
      </c>
      <c r="AX33" s="52">
        <f t="shared" si="12"/>
        <v>0</v>
      </c>
      <c r="AY33" s="52">
        <f t="shared" si="12"/>
        <v>0</v>
      </c>
      <c r="BB33" s="54"/>
      <c r="BC33" s="54"/>
    </row>
    <row r="34" spans="1:55" s="33" customFormat="1" ht="16.8" thickTop="1" thickBot="1" x14ac:dyDescent="0.35">
      <c r="A34" s="223" t="str">
        <f>IFERROR(SMALL($B$36:$B$46,'اختيار المقررات'!AM16),"")</f>
        <v/>
      </c>
      <c r="C34" s="315" t="str">
        <f t="shared" si="8"/>
        <v/>
      </c>
      <c r="D34" s="315"/>
      <c r="E34" s="315"/>
      <c r="F34" s="315"/>
      <c r="G34" s="315"/>
      <c r="H34" s="315"/>
      <c r="I34" s="3"/>
      <c r="J34" s="23"/>
      <c r="K34" s="23"/>
      <c r="L34" s="23"/>
      <c r="M34" s="23"/>
      <c r="N34" s="23"/>
      <c r="O34" s="23"/>
      <c r="P34" s="23"/>
      <c r="Q34" s="23"/>
      <c r="R34" s="3"/>
      <c r="S34" s="3"/>
      <c r="T34" s="3"/>
      <c r="U34" s="3"/>
      <c r="V34" s="3"/>
      <c r="W34" s="3"/>
      <c r="X34" s="3"/>
      <c r="Y34" s="3"/>
      <c r="Z34" s="3"/>
      <c r="AA34" s="3"/>
      <c r="AB34" s="3"/>
      <c r="AC34" s="3"/>
      <c r="AD34" s="3"/>
      <c r="AE34" s="3"/>
      <c r="AF34" s="3"/>
      <c r="AG34" s="3"/>
      <c r="AL34" s="39" t="str">
        <f>IF(Z8&lt;&gt;"",Z8,"")</f>
        <v/>
      </c>
      <c r="AM34">
        <v>26</v>
      </c>
      <c r="AU34" s="54">
        <v>29</v>
      </c>
      <c r="AV34" s="54">
        <f t="shared" si="11"/>
        <v>380</v>
      </c>
      <c r="AW34" s="54" t="str">
        <f t="shared" si="11"/>
        <v xml:space="preserve">ادارة الصحف واقتصادياتها </v>
      </c>
      <c r="AX34" s="52">
        <f t="shared" si="12"/>
        <v>0</v>
      </c>
      <c r="AY34" s="52">
        <f t="shared" si="12"/>
        <v>0</v>
      </c>
      <c r="BB34" s="54"/>
      <c r="BC34" s="54"/>
    </row>
    <row r="35" spans="1:55" s="33" customFormat="1" ht="16.8" thickTop="1" thickBot="1" x14ac:dyDescent="0.35">
      <c r="A35" s="223" t="str">
        <f>IFERROR(SMALL($B$36:$B$46,'اختيار المقررات'!AM17),"")</f>
        <v/>
      </c>
      <c r="C35" s="315" t="str">
        <f t="shared" si="8"/>
        <v/>
      </c>
      <c r="D35" s="315"/>
      <c r="E35" s="315"/>
      <c r="F35" s="315"/>
      <c r="G35" s="315"/>
      <c r="H35" s="315"/>
      <c r="I35" s="3"/>
      <c r="J35" s="24"/>
      <c r="K35" s="3"/>
      <c r="L35" s="4"/>
      <c r="M35" s="5"/>
      <c r="N35" s="5"/>
      <c r="O35" s="5"/>
      <c r="P35" s="3"/>
      <c r="Q35" s="3"/>
      <c r="R35" s="3"/>
      <c r="S35" s="3"/>
      <c r="T35" s="3"/>
      <c r="U35" s="3"/>
      <c r="V35" s="3"/>
      <c r="W35" s="3"/>
      <c r="X35" s="3"/>
      <c r="Y35" s="3"/>
      <c r="Z35" s="3"/>
      <c r="AA35" s="3"/>
      <c r="AB35" s="3"/>
      <c r="AC35" s="3" t="s">
        <v>69</v>
      </c>
      <c r="AD35" s="3"/>
      <c r="AE35" s="3"/>
      <c r="AF35" s="3"/>
      <c r="AG35" s="3"/>
      <c r="AL35" s="39" t="str">
        <f>IF(Z9&lt;&gt;"",Z9,"")</f>
        <v/>
      </c>
      <c r="AM35">
        <v>27</v>
      </c>
      <c r="AU35" s="54">
        <v>30</v>
      </c>
      <c r="AV35" s="54">
        <f t="shared" si="11"/>
        <v>390</v>
      </c>
      <c r="AW35" s="54" t="str">
        <f t="shared" si="11"/>
        <v>مادة اعلامية بلغة اجنبية (3)</v>
      </c>
      <c r="AX35" s="52">
        <f t="shared" si="12"/>
        <v>0</v>
      </c>
      <c r="AY35" s="52">
        <f t="shared" si="12"/>
        <v>0</v>
      </c>
      <c r="BB35" s="54"/>
      <c r="BC35" s="54"/>
    </row>
    <row r="36" spans="1:55" s="33" customFormat="1" ht="16.8" thickTop="1" thickBot="1" x14ac:dyDescent="0.35">
      <c r="A36" s="223" t="str">
        <f>IFERROR(SMALL($B$36:$B$46,'اختيار المقررات'!AM18),"")</f>
        <v/>
      </c>
      <c r="C36" s="315" t="str">
        <f t="shared" si="8"/>
        <v/>
      </c>
      <c r="D36" s="315"/>
      <c r="E36" s="315"/>
      <c r="F36" s="315"/>
      <c r="G36" s="315"/>
      <c r="H36" s="315"/>
      <c r="I36" s="223"/>
      <c r="J36" s="24"/>
      <c r="K36" s="3"/>
      <c r="L36" s="4"/>
      <c r="M36" s="5"/>
      <c r="N36" s="5"/>
      <c r="O36" s="5"/>
      <c r="P36" s="3"/>
      <c r="Q36" s="3"/>
      <c r="R36" s="3"/>
      <c r="S36" s="3"/>
      <c r="T36" s="3"/>
      <c r="U36" s="3"/>
      <c r="V36" s="3"/>
      <c r="W36" s="3"/>
      <c r="X36" s="3"/>
      <c r="Y36" s="3"/>
      <c r="Z36" s="3"/>
      <c r="AA36" s="3"/>
      <c r="AB36" s="3"/>
      <c r="AC36" s="3" t="s">
        <v>70</v>
      </c>
      <c r="AD36" s="3"/>
      <c r="AE36" s="3"/>
      <c r="AF36" s="3"/>
      <c r="AG36" s="3"/>
      <c r="AL36" s="39" t="str">
        <f>IF(Z10&lt;&gt;"",Z10,"")</f>
        <v/>
      </c>
      <c r="AM36">
        <v>28</v>
      </c>
      <c r="AU36" s="54">
        <v>31</v>
      </c>
      <c r="AV36" s="54">
        <f t="shared" ref="AV36:AW40" si="13">T15</f>
        <v>400</v>
      </c>
      <c r="AW36" s="54" t="str">
        <f t="shared" si="13"/>
        <v xml:space="preserve">مادة اعلامية بلغة اجنبية </v>
      </c>
      <c r="AX36" s="53">
        <f t="shared" ref="AX36:AY40" si="14">X15</f>
        <v>0</v>
      </c>
      <c r="AY36" s="53">
        <f t="shared" si="14"/>
        <v>0</v>
      </c>
      <c r="BB36" s="54"/>
      <c r="BC36" s="54"/>
    </row>
    <row r="37" spans="1:55" s="33" customFormat="1" ht="16.8" thickTop="1" thickBot="1" x14ac:dyDescent="0.3">
      <c r="A37" s="224"/>
      <c r="B37" s="223" t="e">
        <f>IF(VLOOKUP($E$1,#REF!,25,0)&lt;&gt;"",2,"")</f>
        <v>#REF!</v>
      </c>
      <c r="C37" s="4"/>
      <c r="D37" s="5"/>
      <c r="E37" s="5"/>
      <c r="F37" s="5"/>
      <c r="G37" s="5"/>
      <c r="H37" s="3"/>
      <c r="I37" s="3"/>
      <c r="J37" s="24"/>
      <c r="K37" s="3"/>
      <c r="L37" s="4"/>
      <c r="M37" s="5"/>
      <c r="N37" s="5"/>
      <c r="O37" s="5"/>
      <c r="P37" s="3"/>
      <c r="Q37" s="3"/>
      <c r="R37" s="3"/>
      <c r="S37" s="3"/>
      <c r="T37" s="3"/>
      <c r="U37" s="3"/>
      <c r="V37" s="3"/>
      <c r="W37" s="3"/>
      <c r="X37" s="3"/>
      <c r="Y37" s="3"/>
      <c r="Z37" s="3"/>
      <c r="AA37" s="3"/>
      <c r="AB37" s="3"/>
      <c r="AC37" s="3" t="s">
        <v>68</v>
      </c>
      <c r="AD37" s="3"/>
      <c r="AE37" s="3"/>
      <c r="AF37" s="3"/>
      <c r="AG37" s="3"/>
      <c r="AL37" s="39" t="str">
        <f>IF(Z11&lt;&gt;"",Z11,"")</f>
        <v/>
      </c>
      <c r="AM37">
        <v>29</v>
      </c>
      <c r="AU37" s="54">
        <v>32</v>
      </c>
      <c r="AV37" s="54">
        <f t="shared" si="13"/>
        <v>410</v>
      </c>
      <c r="AW37" s="54" t="str">
        <f t="shared" si="13"/>
        <v xml:space="preserve">موضوع خاص في الصحافة </v>
      </c>
      <c r="AX37" s="53">
        <f t="shared" si="14"/>
        <v>0</v>
      </c>
      <c r="AY37" s="53">
        <f t="shared" si="14"/>
        <v>0</v>
      </c>
      <c r="BB37" s="54"/>
      <c r="BC37" s="54"/>
    </row>
    <row r="38" spans="1:55" s="33" customFormat="1" ht="16.8" thickTop="1" thickBot="1" x14ac:dyDescent="0.3">
      <c r="A38" s="224"/>
      <c r="B38" s="223" t="e">
        <f>IF(VLOOKUP($E$1,#REF!,26,0)&lt;&gt;"",3,"")</f>
        <v>#REF!</v>
      </c>
      <c r="C38" s="4"/>
      <c r="D38" s="5"/>
      <c r="E38" s="5"/>
      <c r="F38" s="5"/>
      <c r="G38" s="5"/>
      <c r="H38" s="3"/>
      <c r="I38" s="3"/>
      <c r="J38" s="24"/>
      <c r="K38" s="3"/>
      <c r="L38" s="356"/>
      <c r="M38" s="356"/>
      <c r="O38" s="98"/>
      <c r="P38" s="98"/>
      <c r="Q38" s="98"/>
      <c r="R38" s="98"/>
      <c r="S38" s="99"/>
      <c r="T38" s="100"/>
      <c r="U38" s="100"/>
      <c r="V38" s="100"/>
      <c r="X38" s="98"/>
      <c r="Y38" s="98"/>
      <c r="Z38" s="100"/>
      <c r="AA38" s="100"/>
      <c r="AB38" s="100"/>
      <c r="AC38" s="100"/>
      <c r="AE38" s="98"/>
      <c r="AF38" s="98"/>
      <c r="AG38" s="98"/>
      <c r="AL38" s="39" t="str">
        <f>IF(Z12&lt;&gt;"",Z12,"")</f>
        <v/>
      </c>
      <c r="AM38">
        <v>30</v>
      </c>
      <c r="AU38" s="54">
        <v>33</v>
      </c>
      <c r="AV38" s="54">
        <f t="shared" si="13"/>
        <v>420</v>
      </c>
      <c r="AW38" s="54" t="str">
        <f t="shared" si="13"/>
        <v xml:space="preserve">الصحافة المتخصصة </v>
      </c>
      <c r="AX38" s="53">
        <f t="shared" si="14"/>
        <v>0</v>
      </c>
      <c r="AY38" s="53">
        <f t="shared" si="14"/>
        <v>0</v>
      </c>
      <c r="BB38" s="54"/>
      <c r="BC38" s="54"/>
    </row>
    <row r="39" spans="1:55" s="33" customFormat="1" ht="22.2" thickTop="1" thickBot="1" x14ac:dyDescent="0.3">
      <c r="A39" s="224"/>
      <c r="B39" s="223" t="e">
        <f>IF(VLOOKUP($E$1,#REF!,27,0)&lt;&gt;"",4,"")</f>
        <v>#REF!</v>
      </c>
      <c r="C39" s="4"/>
      <c r="D39" s="5"/>
      <c r="E39" s="5"/>
      <c r="F39" s="5"/>
      <c r="G39" s="5"/>
      <c r="H39" s="3"/>
      <c r="I39" s="3"/>
      <c r="J39" s="24"/>
      <c r="K39" s="3"/>
      <c r="L39" s="308"/>
      <c r="M39" s="308"/>
      <c r="O39" s="98"/>
      <c r="P39" s="98"/>
      <c r="Q39" s="98"/>
      <c r="R39" s="98"/>
      <c r="S39" s="99"/>
      <c r="T39" s="100"/>
      <c r="U39" s="100"/>
      <c r="V39" s="100"/>
      <c r="X39" s="101"/>
      <c r="Y39" s="102"/>
      <c r="Z39" s="102"/>
      <c r="AA39" s="102"/>
      <c r="AB39" s="102"/>
      <c r="AC39" s="102"/>
      <c r="AD39" s="102"/>
      <c r="AE39" s="102"/>
      <c r="AF39" s="102"/>
      <c r="AG39" s="102"/>
      <c r="AL39" s="39" t="str">
        <f>IF(R15&lt;&gt;"",R15,"")</f>
        <v/>
      </c>
      <c r="AM39">
        <v>31</v>
      </c>
      <c r="AU39" s="54">
        <v>34</v>
      </c>
      <c r="AV39" s="54">
        <f t="shared" si="13"/>
        <v>430</v>
      </c>
      <c r="AW39" s="54" t="str">
        <f t="shared" si="13"/>
        <v>الترجمة الاعلامية  (4)</v>
      </c>
      <c r="AX39" s="53">
        <f t="shared" si="14"/>
        <v>0</v>
      </c>
      <c r="AY39" s="53">
        <f t="shared" si="14"/>
        <v>0</v>
      </c>
      <c r="BB39" s="54"/>
      <c r="BC39" s="54"/>
    </row>
    <row r="40" spans="1:55" s="33" customFormat="1" ht="16.8" thickTop="1" thickBot="1" x14ac:dyDescent="0.3">
      <c r="A40" s="224"/>
      <c r="B40" s="223" t="e">
        <f>IF(VLOOKUP($E$1,#REF!,28,0)&lt;&gt;"",5,"")</f>
        <v>#REF!</v>
      </c>
      <c r="C40" s="4"/>
      <c r="D40" s="5"/>
      <c r="E40" s="5"/>
      <c r="F40" s="5"/>
      <c r="G40" s="5"/>
      <c r="H40" s="3"/>
      <c r="I40" s="3"/>
      <c r="J40" s="24"/>
      <c r="K40" s="3"/>
      <c r="L40" s="356"/>
      <c r="M40" s="356"/>
      <c r="O40" s="118"/>
      <c r="P40" s="118"/>
      <c r="Q40" s="118"/>
      <c r="R40" s="118"/>
      <c r="S40" s="99"/>
      <c r="T40" s="100"/>
      <c r="U40" s="100"/>
      <c r="V40" s="100"/>
      <c r="X40" s="103"/>
      <c r="Y40" s="103"/>
      <c r="Z40" s="100"/>
      <c r="AA40" s="100"/>
      <c r="AB40" s="100"/>
      <c r="AC40" s="100"/>
      <c r="AE40" s="98"/>
      <c r="AF40" s="98"/>
      <c r="AG40" s="98"/>
      <c r="AL40" s="39" t="str">
        <f>IF(R16&lt;&gt;"",R16,"")</f>
        <v/>
      </c>
      <c r="AM40">
        <v>32</v>
      </c>
      <c r="AU40" s="54">
        <v>35</v>
      </c>
      <c r="AV40" s="54">
        <f t="shared" si="13"/>
        <v>440</v>
      </c>
      <c r="AW40" s="54" t="str">
        <f t="shared" si="13"/>
        <v xml:space="preserve">الافلام الوثائقية والبرامج التسجيلية </v>
      </c>
      <c r="AX40" s="53">
        <f t="shared" si="14"/>
        <v>0</v>
      </c>
      <c r="AY40" s="53">
        <f t="shared" si="14"/>
        <v>0</v>
      </c>
      <c r="BB40" s="54"/>
      <c r="BC40" s="54"/>
    </row>
    <row r="41" spans="1:55" s="33" customFormat="1" ht="16.8" thickTop="1" thickBot="1" x14ac:dyDescent="0.3">
      <c r="A41" s="224"/>
      <c r="B41" s="223" t="e">
        <f>IF(VLOOKUP($E$1,#REF!,29,0)&lt;&gt;"",6,"")</f>
        <v>#REF!</v>
      </c>
      <c r="C41" s="5"/>
      <c r="D41" s="5"/>
      <c r="E41" s="6"/>
      <c r="F41" s="3"/>
      <c r="G41" s="3"/>
      <c r="H41" s="25"/>
      <c r="I41" s="25"/>
      <c r="J41" s="25"/>
      <c r="K41" s="25"/>
      <c r="L41" s="325"/>
      <c r="M41" s="326"/>
      <c r="N41" s="326"/>
      <c r="O41" s="326"/>
      <c r="P41" s="326"/>
      <c r="Q41" s="326"/>
      <c r="U41" s="357"/>
      <c r="V41" s="357"/>
      <c r="W41" s="357"/>
      <c r="Z41" s="326"/>
      <c r="AA41" s="326"/>
      <c r="AB41" s="326"/>
      <c r="AC41" s="326"/>
      <c r="AD41" s="326"/>
      <c r="AE41" s="326"/>
      <c r="AL41" s="39" t="str">
        <f>IF(R17&lt;&gt;"",R17,"")</f>
        <v/>
      </c>
      <c r="AM41">
        <v>33</v>
      </c>
      <c r="AU41" s="54">
        <v>36</v>
      </c>
      <c r="AV41" s="54">
        <f t="shared" ref="AV41:AW45" si="15">AB15</f>
        <v>450</v>
      </c>
      <c r="AW41" s="63" t="str">
        <f t="shared" si="15"/>
        <v xml:space="preserve">موضوع خاص في الاذاعة </v>
      </c>
      <c r="AX41" s="53">
        <f t="shared" ref="AX41:AY45" si="16">AF15</f>
        <v>0</v>
      </c>
      <c r="AY41" s="53">
        <f t="shared" si="16"/>
        <v>0</v>
      </c>
      <c r="BB41" s="63"/>
      <c r="BC41" s="63"/>
    </row>
    <row r="42" spans="1:55" s="33" customFormat="1" ht="18.600000000000001" thickTop="1" thickBot="1" x14ac:dyDescent="0.3">
      <c r="A42" s="224"/>
      <c r="B42" s="223" t="e">
        <f>IF(VLOOKUP($E$1,#REF!,30,0)&lt;&gt;"",7,"")</f>
        <v>#REF!</v>
      </c>
      <c r="C42" s="8"/>
      <c r="D42" s="5"/>
      <c r="E42" s="5"/>
      <c r="F42" s="5"/>
      <c r="G42" s="3"/>
      <c r="H42" s="25"/>
      <c r="I42" s="25"/>
      <c r="J42" s="25"/>
      <c r="K42" s="25"/>
      <c r="L42" s="327"/>
      <c r="M42" s="327"/>
      <c r="N42" s="327"/>
      <c r="O42" s="327"/>
      <c r="P42" s="327"/>
      <c r="Q42" s="327"/>
      <c r="R42" s="326"/>
      <c r="S42" s="326"/>
      <c r="T42" s="326"/>
      <c r="U42" s="327"/>
      <c r="V42" s="327"/>
      <c r="W42" s="327"/>
      <c r="X42" s="327"/>
      <c r="Y42" s="327"/>
      <c r="Z42" s="327"/>
      <c r="AA42" s="327"/>
      <c r="AB42" s="327"/>
      <c r="AC42" s="327"/>
      <c r="AD42" s="327"/>
      <c r="AE42" s="327"/>
      <c r="AF42" s="104"/>
      <c r="AG42" s="104"/>
      <c r="AL42" s="39" t="str">
        <f>IF(R18&lt;&gt;"",R18,"")</f>
        <v/>
      </c>
      <c r="AM42">
        <v>34</v>
      </c>
      <c r="AU42" s="54">
        <v>37</v>
      </c>
      <c r="AV42" s="54">
        <f t="shared" si="15"/>
        <v>460</v>
      </c>
      <c r="AW42" s="63" t="str">
        <f t="shared" si="15"/>
        <v xml:space="preserve">الاعلان الاذاعي والتلفزيوني </v>
      </c>
      <c r="AX42" s="53">
        <f t="shared" si="16"/>
        <v>0</v>
      </c>
      <c r="AY42" s="53">
        <f t="shared" si="16"/>
        <v>0</v>
      </c>
      <c r="BB42" s="63"/>
      <c r="BC42" s="63"/>
    </row>
    <row r="43" spans="1:55" s="33" customFormat="1" ht="18.600000000000001" thickTop="1" thickBot="1" x14ac:dyDescent="0.3">
      <c r="A43" s="224"/>
      <c r="B43" s="223" t="e">
        <f>IF(VLOOKUP($E$1,#REF!,32,0)&lt;&gt;"",8,"")</f>
        <v>#REF!</v>
      </c>
      <c r="C43" s="9"/>
      <c r="D43" s="9"/>
      <c r="E43" s="9"/>
      <c r="F43" s="9"/>
      <c r="G43" s="10"/>
      <c r="H43" s="8"/>
      <c r="I43" s="8"/>
      <c r="J43" s="8"/>
      <c r="K43" s="8"/>
      <c r="L43" s="5"/>
      <c r="M43" s="5"/>
      <c r="N43" s="26"/>
      <c r="O43" s="26"/>
      <c r="P43" s="26"/>
      <c r="Q43" s="26"/>
      <c r="AL43" s="39" t="str">
        <f>IF(R19&lt;&gt;"",R19,"")</f>
        <v/>
      </c>
      <c r="AM43">
        <v>35</v>
      </c>
      <c r="AU43" s="54">
        <v>38</v>
      </c>
      <c r="AV43" s="54">
        <f t="shared" si="15"/>
        <v>470</v>
      </c>
      <c r="AW43" s="63" t="str">
        <f t="shared" si="15"/>
        <v xml:space="preserve">مشروع اصدار جريدة او مجلة </v>
      </c>
      <c r="AX43" s="53">
        <f t="shared" si="16"/>
        <v>0</v>
      </c>
      <c r="AY43" s="53">
        <f t="shared" si="16"/>
        <v>0</v>
      </c>
      <c r="BB43" s="63"/>
      <c r="BC43" s="63"/>
    </row>
    <row r="44" spans="1:55" s="33" customFormat="1" ht="16.8" thickTop="1" thickBot="1" x14ac:dyDescent="0.3">
      <c r="A44" s="224"/>
      <c r="B44" s="223" t="e">
        <f>IF(VLOOKUP($E$1,#REF!,33,0)&lt;&gt;"",9,"")</f>
        <v>#REF!</v>
      </c>
      <c r="C44" s="5"/>
      <c r="D44" s="5"/>
      <c r="E44" s="3"/>
      <c r="F44" s="3"/>
      <c r="G44" s="5"/>
      <c r="H44" s="5"/>
      <c r="I44" s="5"/>
      <c r="J44" s="5"/>
      <c r="K44" s="5"/>
      <c r="L44" s="5"/>
      <c r="M44" s="11"/>
      <c r="N44" s="26"/>
      <c r="O44" s="26"/>
      <c r="P44" s="26"/>
      <c r="Q44" s="26"/>
      <c r="AL44" s="39" t="str">
        <f>IF(Z15&lt;&gt;"",Z15,"")</f>
        <v/>
      </c>
      <c r="AM44">
        <v>36</v>
      </c>
      <c r="AU44" s="54">
        <v>39</v>
      </c>
      <c r="AV44" s="54">
        <f t="shared" si="15"/>
        <v>480</v>
      </c>
      <c r="AW44" s="63" t="str">
        <f t="shared" si="15"/>
        <v xml:space="preserve">تخطيط الحملات الاعلامية </v>
      </c>
      <c r="AX44" s="53">
        <f t="shared" si="16"/>
        <v>0</v>
      </c>
      <c r="AY44" s="53">
        <f t="shared" si="16"/>
        <v>0</v>
      </c>
      <c r="BB44" s="63"/>
      <c r="BC44" s="63"/>
    </row>
    <row r="45" spans="1:55" s="33" customFormat="1" ht="19.5" customHeight="1" thickTop="1" thickBot="1" x14ac:dyDescent="0.3">
      <c r="A45" s="224"/>
      <c r="B45" s="232" t="e">
        <f>IF(VLOOKUP($E$1,#REF!,39,0)&lt;&gt;"",10,"")</f>
        <v>#REF!</v>
      </c>
      <c r="G45" s="5"/>
      <c r="H45" s="5"/>
      <c r="I45" s="5"/>
      <c r="J45" s="5"/>
      <c r="K45" s="5"/>
      <c r="L45" s="5"/>
      <c r="M45" s="7"/>
      <c r="N45" s="7"/>
      <c r="O45" s="12"/>
      <c r="P45" s="12"/>
      <c r="Q45" s="12"/>
      <c r="AL45" s="39" t="str">
        <f>IF(Z16&lt;&gt;"",Z16,"")</f>
        <v/>
      </c>
      <c r="AM45">
        <v>37</v>
      </c>
      <c r="AU45" s="54">
        <v>40</v>
      </c>
      <c r="AV45" s="54">
        <f t="shared" si="15"/>
        <v>490</v>
      </c>
      <c r="AW45" s="63" t="str">
        <f t="shared" si="15"/>
        <v xml:space="preserve">فن العلاقات العامة </v>
      </c>
      <c r="AX45" s="53">
        <f t="shared" si="16"/>
        <v>0</v>
      </c>
      <c r="AY45" s="53">
        <f t="shared" si="16"/>
        <v>0</v>
      </c>
      <c r="BB45" s="63"/>
      <c r="BC45" s="63"/>
    </row>
    <row r="46" spans="1:55" s="33" customFormat="1" ht="18.600000000000001" thickTop="1" thickBot="1" x14ac:dyDescent="0.3">
      <c r="A46" s="224"/>
      <c r="B46" s="232" t="e">
        <f>IF(VLOOKUP($E$1,#REF!,40,0)&lt;&gt;"",11,"")</f>
        <v>#REF!</v>
      </c>
      <c r="AL46" s="39" t="str">
        <f>IF(Z17&lt;&gt;"",Z17,"")</f>
        <v/>
      </c>
      <c r="AM46">
        <v>38</v>
      </c>
      <c r="AU46" s="54"/>
      <c r="AX46" s="53"/>
      <c r="AY46" s="53"/>
      <c r="AZ46" s="55"/>
    </row>
    <row r="47" spans="1:55" s="33" customFormat="1" ht="18.600000000000001" thickTop="1" thickBot="1" x14ac:dyDescent="0.3">
      <c r="A47" s="224"/>
      <c r="B47" s="225"/>
      <c r="C47" s="33">
        <v>1</v>
      </c>
      <c r="D47" s="33" t="s">
        <v>144</v>
      </c>
      <c r="F47" s="10"/>
      <c r="G47" s="27"/>
      <c r="H47" s="27"/>
      <c r="I47" s="27"/>
      <c r="J47" s="27"/>
      <c r="K47" s="27"/>
      <c r="L47" s="27"/>
      <c r="M47" s="27"/>
      <c r="N47" s="27"/>
      <c r="O47" s="27"/>
      <c r="P47" s="27"/>
      <c r="Q47" s="27"/>
      <c r="AL47" s="39" t="str">
        <f>IF(Z18&lt;&gt;"",Z18,"")</f>
        <v/>
      </c>
      <c r="AM47">
        <v>39</v>
      </c>
      <c r="AU47" s="54"/>
      <c r="AV47" s="54"/>
      <c r="AW47" s="56"/>
      <c r="AX47" s="53"/>
      <c r="AY47" s="53"/>
      <c r="AZ47" s="55"/>
    </row>
    <row r="48" spans="1:55" s="33" customFormat="1" ht="16.8" thickTop="1" thickBot="1" x14ac:dyDescent="0.3">
      <c r="A48" s="224"/>
      <c r="B48" s="225"/>
      <c r="C48" s="33">
        <v>2</v>
      </c>
      <c r="D48" s="33" t="s">
        <v>140</v>
      </c>
      <c r="G48" s="27"/>
      <c r="H48" s="27"/>
      <c r="I48" s="27"/>
      <c r="J48" s="27"/>
      <c r="K48" s="27"/>
      <c r="L48" s="27"/>
      <c r="M48" s="27"/>
      <c r="N48" s="27"/>
      <c r="O48" s="27"/>
      <c r="P48" s="27"/>
      <c r="Q48" s="27"/>
      <c r="AL48" s="39" t="str">
        <f>IF(Z19&lt;&gt;"",Z19,"")</f>
        <v/>
      </c>
      <c r="AM48">
        <v>40</v>
      </c>
      <c r="AU48" s="54"/>
      <c r="AV48" s="54"/>
      <c r="AW48" s="56"/>
      <c r="AX48" s="53"/>
      <c r="AY48" s="53"/>
      <c r="AZ48" s="55"/>
    </row>
    <row r="49" spans="1:54" s="33" customFormat="1" ht="18.600000000000001" thickTop="1" thickBot="1" x14ac:dyDescent="0.3">
      <c r="A49" s="224"/>
      <c r="B49" s="226"/>
      <c r="C49" s="33">
        <v>3</v>
      </c>
      <c r="D49" s="33" t="s">
        <v>145</v>
      </c>
      <c r="F49" s="27"/>
      <c r="G49" s="13"/>
      <c r="H49" s="14"/>
      <c r="I49" s="14"/>
      <c r="J49" s="14"/>
      <c r="K49" s="8"/>
      <c r="L49" s="8"/>
      <c r="M49" s="14"/>
      <c r="N49" s="14"/>
      <c r="O49" s="13"/>
      <c r="P49" s="13"/>
      <c r="Q49" s="13"/>
      <c r="AL49" s="39"/>
      <c r="AM49"/>
      <c r="AU49" s="54"/>
      <c r="AV49" s="54"/>
      <c r="AW49" s="56"/>
      <c r="AX49" s="53"/>
      <c r="AY49" s="53"/>
      <c r="AZ49" s="55"/>
    </row>
    <row r="50" spans="1:54" s="33" customFormat="1" ht="16.8" thickTop="1" thickBot="1" x14ac:dyDescent="0.3">
      <c r="A50" s="224"/>
      <c r="B50" s="227"/>
      <c r="C50" s="33">
        <v>4</v>
      </c>
      <c r="D50" s="33" t="s">
        <v>151</v>
      </c>
      <c r="F50" s="27"/>
      <c r="G50" s="14"/>
      <c r="H50" s="3"/>
      <c r="I50" s="3"/>
      <c r="J50" s="3"/>
      <c r="K50" s="3"/>
      <c r="L50" s="3"/>
      <c r="M50" s="3"/>
      <c r="N50" s="3"/>
      <c r="O50" s="14"/>
      <c r="P50" s="14"/>
      <c r="Q50" s="14"/>
      <c r="AL50" s="39"/>
      <c r="AM50"/>
      <c r="AU50" s="54"/>
      <c r="AV50" s="54"/>
      <c r="AW50" s="56"/>
      <c r="AX50" s="53"/>
      <c r="AY50" s="53"/>
      <c r="AZ50" s="55"/>
    </row>
    <row r="51" spans="1:54" s="33" customFormat="1" ht="21.75" customHeight="1" thickTop="1" x14ac:dyDescent="0.6">
      <c r="A51" s="224"/>
      <c r="B51" s="228"/>
      <c r="C51" s="33">
        <v>5</v>
      </c>
      <c r="D51" s="33" t="s">
        <v>146</v>
      </c>
      <c r="F51" s="13"/>
      <c r="G51" s="28"/>
      <c r="H51" s="28"/>
      <c r="I51" s="28"/>
      <c r="J51" s="28"/>
      <c r="K51" s="28"/>
      <c r="L51" s="28"/>
      <c r="M51" s="28"/>
      <c r="N51" s="28"/>
      <c r="O51" s="28"/>
      <c r="P51" s="28"/>
      <c r="Q51" s="28"/>
      <c r="AM51"/>
      <c r="AU51" s="54"/>
      <c r="AV51" s="54"/>
      <c r="AW51" s="56"/>
      <c r="AX51" s="53"/>
      <c r="AY51" s="53"/>
      <c r="AZ51" s="55"/>
    </row>
    <row r="52" spans="1:54" s="33" customFormat="1" ht="21.6" thickBot="1" x14ac:dyDescent="0.3">
      <c r="A52" s="224"/>
      <c r="B52" s="229"/>
      <c r="C52" s="33">
        <v>6</v>
      </c>
      <c r="D52" s="33" t="s">
        <v>249</v>
      </c>
      <c r="E52" s="14"/>
      <c r="F52" s="14"/>
      <c r="G52" s="15"/>
      <c r="H52" s="15"/>
      <c r="I52" s="15"/>
      <c r="J52" s="15"/>
      <c r="K52" s="15"/>
      <c r="L52" s="15"/>
      <c r="M52" s="15"/>
      <c r="N52" s="8"/>
      <c r="O52" s="8"/>
      <c r="P52" s="8"/>
      <c r="Q52" s="8"/>
      <c r="AL52" s="39"/>
      <c r="AM52"/>
      <c r="AU52" s="54"/>
      <c r="AV52" s="54"/>
      <c r="AW52" s="56"/>
      <c r="AX52" s="53"/>
      <c r="AY52" s="53"/>
      <c r="AZ52" s="55"/>
    </row>
    <row r="53" spans="1:54" s="33" customFormat="1" ht="22.2" thickTop="1" thickBot="1" x14ac:dyDescent="0.3">
      <c r="A53" s="224"/>
      <c r="B53" s="230"/>
      <c r="C53" s="33">
        <v>7</v>
      </c>
      <c r="D53" s="33" t="s">
        <v>251</v>
      </c>
      <c r="E53" s="14"/>
      <c r="F53" s="14"/>
      <c r="G53" s="15"/>
      <c r="H53" s="15"/>
      <c r="I53" s="16"/>
      <c r="J53" s="16"/>
      <c r="K53" s="16"/>
      <c r="L53" s="16"/>
      <c r="M53" s="16"/>
      <c r="N53" s="9"/>
      <c r="O53" s="9"/>
      <c r="P53" s="9"/>
      <c r="Q53" s="9"/>
      <c r="AL53" s="39"/>
      <c r="AM53"/>
      <c r="AU53" s="54"/>
      <c r="AV53" s="54"/>
      <c r="AW53" s="56"/>
      <c r="AX53" s="53"/>
      <c r="AY53" s="53"/>
      <c r="AZ53" s="55"/>
    </row>
    <row r="54" spans="1:54" s="33" customFormat="1" ht="22.2" thickTop="1" thickBot="1" x14ac:dyDescent="0.45">
      <c r="A54" s="224"/>
      <c r="B54" s="231"/>
      <c r="C54" s="15">
        <v>8</v>
      </c>
      <c r="D54" s="15" t="s">
        <v>252</v>
      </c>
      <c r="E54" s="15"/>
      <c r="F54" s="15"/>
      <c r="G54" s="21"/>
      <c r="H54" s="21"/>
      <c r="I54" s="17"/>
      <c r="J54" s="17"/>
      <c r="K54" s="18"/>
      <c r="L54" s="19"/>
      <c r="M54" s="19"/>
      <c r="N54" s="20"/>
      <c r="O54" s="20"/>
      <c r="P54" s="20"/>
      <c r="Q54" s="20"/>
      <c r="AL54" s="39"/>
      <c r="AM54"/>
      <c r="AU54" s="54"/>
      <c r="AV54" s="53"/>
      <c r="AW54" s="57"/>
      <c r="AX54" s="53"/>
      <c r="AY54" s="53"/>
      <c r="AZ54" s="53"/>
      <c r="BA54" s="53"/>
      <c r="BB54" s="53"/>
    </row>
    <row r="55" spans="1:54" s="33" customFormat="1" ht="22.2" thickTop="1" thickBot="1" x14ac:dyDescent="0.45">
      <c r="B55" s="18"/>
      <c r="C55" s="16">
        <v>9</v>
      </c>
      <c r="D55" s="15" t="s">
        <v>253</v>
      </c>
      <c r="E55" s="15"/>
      <c r="F55" s="15"/>
      <c r="G55" s="18"/>
      <c r="H55" s="21"/>
      <c r="I55" s="21"/>
      <c r="J55" s="21"/>
      <c r="K55" s="21"/>
      <c r="L55" s="21"/>
      <c r="M55" s="21"/>
      <c r="N55" s="3"/>
      <c r="O55" s="22"/>
      <c r="P55" s="22"/>
      <c r="Q55" s="22"/>
      <c r="AL55" s="39"/>
      <c r="AM55"/>
      <c r="AU55" s="53"/>
      <c r="AV55" s="53"/>
      <c r="AW55" s="57"/>
      <c r="AX55" s="53"/>
      <c r="AY55" s="53"/>
      <c r="AZ55" s="53"/>
      <c r="BA55" s="53"/>
      <c r="BB55" s="53"/>
    </row>
    <row r="56" spans="1:54" ht="22.2" thickTop="1" thickBot="1" x14ac:dyDescent="0.45">
      <c r="B56" s="21"/>
      <c r="C56" s="21">
        <v>10</v>
      </c>
      <c r="D56" s="21" t="s">
        <v>254</v>
      </c>
      <c r="E56" s="21"/>
      <c r="F56" s="21"/>
      <c r="G56" s="21"/>
      <c r="H56" s="21"/>
      <c r="I56" s="21"/>
      <c r="J56" s="2"/>
      <c r="K56" s="2"/>
      <c r="L56" s="2"/>
      <c r="M56" s="2"/>
      <c r="N56" s="1"/>
      <c r="O56" s="1"/>
      <c r="P56" s="1"/>
      <c r="Q56" s="1"/>
      <c r="AL56" s="39"/>
    </row>
    <row r="57" spans="1:54" ht="14.25" customHeight="1" thickTop="1" x14ac:dyDescent="0.25">
      <c r="B57" s="33"/>
      <c r="C57" s="33">
        <v>11</v>
      </c>
      <c r="D57" s="15" t="s">
        <v>256</v>
      </c>
      <c r="E57" s="33"/>
      <c r="F57" s="33"/>
      <c r="G57" s="33"/>
      <c r="H57" s="33"/>
      <c r="I57" s="33"/>
    </row>
  </sheetData>
  <sheetProtection selectLockedCells="1" selectUnlockedCells="1"/>
  <mergeCells count="155">
    <mergeCell ref="AE2:AG2"/>
    <mergeCell ref="AH1:AI1"/>
    <mergeCell ref="X2:Z2"/>
    <mergeCell ref="AB2:AC2"/>
    <mergeCell ref="AH2:AI2"/>
    <mergeCell ref="X3:Z3"/>
    <mergeCell ref="AH3:AI3"/>
    <mergeCell ref="X4:Z4"/>
    <mergeCell ref="AE4:AI4"/>
    <mergeCell ref="AE1:AG1"/>
    <mergeCell ref="AB1:AC1"/>
    <mergeCell ref="AB3:AC3"/>
    <mergeCell ref="X1:Z1"/>
    <mergeCell ref="U18:W18"/>
    <mergeCell ref="C33:H33"/>
    <mergeCell ref="V25:X27"/>
    <mergeCell ref="S25:U27"/>
    <mergeCell ref="C29:H29"/>
    <mergeCell ref="C25:H25"/>
    <mergeCell ref="D19:G19"/>
    <mergeCell ref="C26:H26"/>
    <mergeCell ref="E1:G1"/>
    <mergeCell ref="H1:J1"/>
    <mergeCell ref="L1:N1"/>
    <mergeCell ref="U1:V1"/>
    <mergeCell ref="U2:V2"/>
    <mergeCell ref="Q1:T1"/>
    <mergeCell ref="O2:P2"/>
    <mergeCell ref="O1:P1"/>
    <mergeCell ref="Q2:T2"/>
    <mergeCell ref="C1:D1"/>
    <mergeCell ref="B3:D3"/>
    <mergeCell ref="E3:G3"/>
    <mergeCell ref="C2:D2"/>
    <mergeCell ref="E2:G2"/>
    <mergeCell ref="Q3:T3"/>
    <mergeCell ref="U3:V3"/>
    <mergeCell ref="L2:N2"/>
    <mergeCell ref="AB5:AC5"/>
    <mergeCell ref="L4:N4"/>
    <mergeCell ref="O4:P4"/>
    <mergeCell ref="Q4:T4"/>
    <mergeCell ref="U4:V4"/>
    <mergeCell ref="C5:E5"/>
    <mergeCell ref="AB4:AC4"/>
    <mergeCell ref="L3:N3"/>
    <mergeCell ref="C4:D4"/>
    <mergeCell ref="E4:G4"/>
    <mergeCell ref="H4:J4"/>
    <mergeCell ref="H2:J2"/>
    <mergeCell ref="X5:Z5"/>
    <mergeCell ref="O3:P3"/>
    <mergeCell ref="H3:J3"/>
    <mergeCell ref="U5:V5"/>
    <mergeCell ref="M10:O10"/>
    <mergeCell ref="D18:G18"/>
    <mergeCell ref="D15:G15"/>
    <mergeCell ref="M18:O18"/>
    <mergeCell ref="D10:G10"/>
    <mergeCell ref="M12:O12"/>
    <mergeCell ref="D17:G17"/>
    <mergeCell ref="M17:O17"/>
    <mergeCell ref="D16:G16"/>
    <mergeCell ref="M15:O15"/>
    <mergeCell ref="M16:O16"/>
    <mergeCell ref="B14:Q14"/>
    <mergeCell ref="D11:G11"/>
    <mergeCell ref="D12:G12"/>
    <mergeCell ref="M11:O11"/>
    <mergeCell ref="D8:G8"/>
    <mergeCell ref="D9:G9"/>
    <mergeCell ref="B6:Q6"/>
    <mergeCell ref="B7:I7"/>
    <mergeCell ref="L7:Q7"/>
    <mergeCell ref="F5:N5"/>
    <mergeCell ref="O5:P5"/>
    <mergeCell ref="Q5:T5"/>
    <mergeCell ref="T7:Y7"/>
    <mergeCell ref="T6:AG6"/>
    <mergeCell ref="AC8:AE8"/>
    <mergeCell ref="AC9:AE9"/>
    <mergeCell ref="M8:O8"/>
    <mergeCell ref="M9:O9"/>
    <mergeCell ref="U8:W8"/>
    <mergeCell ref="AB7:AG7"/>
    <mergeCell ref="AC15:AE15"/>
    <mergeCell ref="U15:W15"/>
    <mergeCell ref="R42:T42"/>
    <mergeCell ref="AE3:AG3"/>
    <mergeCell ref="C31:H31"/>
    <mergeCell ref="N27:Q27"/>
    <mergeCell ref="N28:Q28"/>
    <mergeCell ref="N29:Q29"/>
    <mergeCell ref="C27:H27"/>
    <mergeCell ref="S29:U29"/>
    <mergeCell ref="S28:U28"/>
    <mergeCell ref="Y28:AF28"/>
    <mergeCell ref="C30:H30"/>
    <mergeCell ref="Z42:AE42"/>
    <mergeCell ref="L40:M40"/>
    <mergeCell ref="L38:M38"/>
    <mergeCell ref="K26:M26"/>
    <mergeCell ref="U41:W41"/>
    <mergeCell ref="Z41:AE41"/>
    <mergeCell ref="Y26:AC26"/>
    <mergeCell ref="N26:Q26"/>
    <mergeCell ref="U42:W42"/>
    <mergeCell ref="X42:Y42"/>
    <mergeCell ref="V29:X29"/>
    <mergeCell ref="L41:Q41"/>
    <mergeCell ref="AD25:AF25"/>
    <mergeCell ref="K25:M25"/>
    <mergeCell ref="K29:M29"/>
    <mergeCell ref="L42:Q42"/>
    <mergeCell ref="V28:X28"/>
    <mergeCell ref="AH9:AJ9"/>
    <mergeCell ref="AH10:AJ11"/>
    <mergeCell ref="U11:W11"/>
    <mergeCell ref="U12:W12"/>
    <mergeCell ref="S14:AG14"/>
    <mergeCell ref="U9:W9"/>
    <mergeCell ref="AH12:AJ18"/>
    <mergeCell ref="AC11:AE11"/>
    <mergeCell ref="U16:W16"/>
    <mergeCell ref="AC18:AE18"/>
    <mergeCell ref="AC10:AE10"/>
    <mergeCell ref="AC12:AE12"/>
    <mergeCell ref="AC16:AE16"/>
    <mergeCell ref="AC17:AE17"/>
    <mergeCell ref="U10:W10"/>
    <mergeCell ref="U17:W17"/>
    <mergeCell ref="AC19:AE19"/>
    <mergeCell ref="AD26:AF26"/>
    <mergeCell ref="L39:M39"/>
    <mergeCell ref="Y25:AC25"/>
    <mergeCell ref="Y27:AC27"/>
    <mergeCell ref="K27:M27"/>
    <mergeCell ref="K28:M28"/>
    <mergeCell ref="U19:W19"/>
    <mergeCell ref="M19:O19"/>
    <mergeCell ref="N25:Q25"/>
    <mergeCell ref="C32:H32"/>
    <mergeCell ref="C28:H28"/>
    <mergeCell ref="K31:AG31"/>
    <mergeCell ref="K30:P30"/>
    <mergeCell ref="Q30:S30"/>
    <mergeCell ref="T30:V30"/>
    <mergeCell ref="W30:X30"/>
    <mergeCell ref="Y30:AD30"/>
    <mergeCell ref="AD27:AF27"/>
    <mergeCell ref="AC29:AF29"/>
    <mergeCell ref="Y29:AB29"/>
    <mergeCell ref="C34:H34"/>
    <mergeCell ref="C35:H35"/>
    <mergeCell ref="C36:H36"/>
  </mergeCells>
  <conditionalFormatting sqref="B6:Q6">
    <cfRule type="expression" dxfId="27" priority="2">
      <formula>$E$2="معاقب"</formula>
    </cfRule>
    <cfRule type="expression" dxfId="26" priority="12">
      <formula>$E$2="مستنفذ"</formula>
    </cfRule>
  </conditionalFormatting>
  <conditionalFormatting sqref="B7:AG19">
    <cfRule type="expression" dxfId="25" priority="1">
      <formula>$E$2="معاقب"</formula>
    </cfRule>
  </conditionalFormatting>
  <conditionalFormatting sqref="S6:AG7 B7:Q7 B8:B12 H8:K12 P8:Q12 S8:S12 X8:AA12 AF8:AG12 B13:Q14 S13:AG14 B15:B19 H15:K19 P15:Q19 S15:S19 X15:AA19 AF15:AG19 F20:I20 N20:Q20 V20:Y20 AD20:AG20">
    <cfRule type="expression" dxfId="24" priority="6">
      <formula>$E$2="مستنفذ"</formula>
    </cfRule>
  </conditionalFormatting>
  <dataValidations count="4">
    <dataValidation type="list" allowBlank="1" showInputMessage="1" showErrorMessage="1" sqref="V28" xr:uid="{00000000-0002-0000-0200-000000000000}">
      <formula1>$BC$4:$BC$5</formula1>
    </dataValidation>
    <dataValidation type="list" allowBlank="1" showInputMessage="1" showErrorMessage="1" sqref="F5:N5" xr:uid="{00000000-0002-0000-0200-000001000000}">
      <formula1>$AO$1:$AO$9</formula1>
    </dataValidation>
    <dataValidation type="custom"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أو أنك قد تجاوزت عدد المقررات المسموح تسجيلها_x000a_" sqref="H8:H12 P8:P12 X8:X12 H15:H19 AF8:AF12 X15:X19 P15:P19 AF15:AF19" xr:uid="{00000000-0002-0000-0200-000002000000}">
      <formula1>AND($AK$2=0,$AG$29&lt;=14,H8=1)</formula1>
    </dataValidation>
    <dataValidation type="list" allowBlank="1" showInputMessage="1" showErrorMessage="1" sqref="I8:I12 I15:I19 Q8:Q12 Q15:Q19 Y8:Y12 Y15:Y19 AG8:AG12 AG15:AG19" xr:uid="{23D762AB-F559-4C6B-ACC8-1212AE6CE57A}">
      <formula1>$AC$35:$AC$37</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ورقة8"/>
  <dimension ref="B1:AP44"/>
  <sheetViews>
    <sheetView rightToLeft="1" zoomScale="90" zoomScaleNormal="90" workbookViewId="0">
      <selection activeCell="B2" sqref="B2:C2"/>
    </sheetView>
  </sheetViews>
  <sheetFormatPr defaultColWidth="9" defaultRowHeight="13.2" x14ac:dyDescent="0.25"/>
  <cols>
    <col min="1" max="1" width="0.3984375" style="131" customWidth="1"/>
    <col min="2" max="2" width="5.09765625" style="131" customWidth="1"/>
    <col min="3" max="3" width="5.69921875" style="131" bestFit="1" customWidth="1"/>
    <col min="4" max="4" width="4.09765625" style="131" customWidth="1"/>
    <col min="5" max="5" width="8" style="131" customWidth="1"/>
    <col min="6" max="6" width="7.09765625" style="131" customWidth="1"/>
    <col min="7" max="7" width="4.69921875" style="131" customWidth="1"/>
    <col min="8" max="8" width="5.3984375" style="131" customWidth="1"/>
    <col min="9" max="9" width="5.19921875" style="131" customWidth="1"/>
    <col min="10" max="10" width="6.59765625" style="131" customWidth="1"/>
    <col min="11" max="11" width="5.8984375" style="131" customWidth="1"/>
    <col min="12" max="12" width="3.3984375" style="131" customWidth="1"/>
    <col min="13" max="13" width="7.09765625" style="131" customWidth="1"/>
    <col min="14" max="14" width="8.3984375" style="131" customWidth="1"/>
    <col min="15" max="15" width="7.09765625" style="131" customWidth="1"/>
    <col min="16" max="16" width="3" style="131" customWidth="1"/>
    <col min="17" max="17" width="3.59765625" style="131" customWidth="1"/>
    <col min="18" max="18" width="4.69921875" style="131" customWidth="1"/>
    <col min="19" max="19" width="9" style="131" customWidth="1"/>
    <col min="20" max="20" width="6.69921875" style="131" hidden="1" customWidth="1"/>
    <col min="21" max="21" width="8.19921875" style="131" hidden="1" customWidth="1"/>
    <col min="22" max="22" width="3.19921875" style="131" hidden="1" customWidth="1"/>
    <col min="23" max="23" width="8.8984375" style="131" hidden="1" customWidth="1"/>
    <col min="24" max="24" width="3.19921875" style="131" hidden="1" customWidth="1"/>
    <col min="25" max="25" width="5.69921875" style="131" hidden="1" customWidth="1"/>
    <col min="26" max="28" width="8.8984375" style="131" hidden="1" customWidth="1"/>
    <col min="29" max="35" width="12.19921875" style="131" customWidth="1"/>
    <col min="36" max="41" width="8.8984375" style="131" customWidth="1"/>
    <col min="42" max="42" width="57.09765625" style="131" bestFit="1" customWidth="1"/>
    <col min="43" max="16383" width="9" style="131" customWidth="1"/>
    <col min="16384" max="16384" width="9" style="131"/>
  </cols>
  <sheetData>
    <row r="1" spans="2:42" ht="14.4" thickTop="1" thickBot="1" x14ac:dyDescent="0.3">
      <c r="B1" s="431">
        <f ca="1">NOW()</f>
        <v>45728.413263310184</v>
      </c>
      <c r="C1" s="431"/>
      <c r="D1" s="431"/>
      <c r="E1" s="431"/>
      <c r="F1" s="438" t="s">
        <v>258</v>
      </c>
      <c r="G1" s="438"/>
      <c r="H1" s="438"/>
      <c r="I1" s="438"/>
      <c r="J1" s="438"/>
      <c r="K1" s="438"/>
      <c r="L1" s="438"/>
      <c r="M1" s="438"/>
      <c r="N1" s="438"/>
      <c r="O1" s="438"/>
      <c r="P1" s="438"/>
      <c r="Q1" s="438"/>
      <c r="R1" s="438"/>
      <c r="T1" s="132" t="b">
        <f>IF(AND(I12="A",H12=1),35000,IF(OR(I12="ج",I12="ر1",I12="ر2"),IF(H12=1,IF(OR($E$22=$AP$8,$E$22=$AP$9),0,IF($E$22=$AP$2,IF(I12="ج",4000,IF(I12="ر1",5200,IF(I12="ر2",6000,""))),IF(OR($E$22=$AP$3,$E$22=$AP$7),IF(I12="ج",2500,IF(I12="ر1",3250,IF(I12="ر2",3750,""))),IF($E$22=$AP$4,500,IF(OR($E$22=$AP$1,$E$22=$AP$5,$E$22=$AP$6),IF(I12="ج",4000,IF(I12="ر1",5500,IF(I12="ر2",6500,""))),IF(I12="ج",5000,IF(I12="ر1",6500,IF(I12="ر2",7500,"")))))))))))</f>
        <v>0</v>
      </c>
      <c r="AC1" s="133"/>
      <c r="AD1" s="215" t="str">
        <f>IF(AJ1&gt;0,"يجب عليك ادخال البيانات المطلوبة أدناه بالمعلومات الصحيحة في صفحة إدخال البيانات لتتمكن من طباعة استمارة المقررات بشكل صحيح","")</f>
        <v/>
      </c>
      <c r="AE1" s="216"/>
      <c r="AF1" s="216"/>
      <c r="AG1" s="216"/>
      <c r="AH1" s="217"/>
      <c r="AI1" s="133"/>
      <c r="AJ1" s="162">
        <v>0</v>
      </c>
      <c r="AP1" s="135" t="s">
        <v>72</v>
      </c>
    </row>
    <row r="2" spans="2:42" ht="17.25" customHeight="1" thickTop="1" thickBot="1" x14ac:dyDescent="0.3">
      <c r="B2" s="432" t="s">
        <v>181</v>
      </c>
      <c r="C2" s="433"/>
      <c r="D2" s="434">
        <f>'اختيار المقررات'!E1</f>
        <v>0</v>
      </c>
      <c r="E2" s="434"/>
      <c r="F2" s="435" t="s">
        <v>3</v>
      </c>
      <c r="G2" s="435"/>
      <c r="H2" s="436">
        <f>'اختيار المقررات'!L1</f>
        <v>0</v>
      </c>
      <c r="I2" s="436"/>
      <c r="J2" s="436"/>
      <c r="K2" s="435" t="s">
        <v>4</v>
      </c>
      <c r="L2" s="435"/>
      <c r="M2" s="437">
        <f>'اختيار المقررات'!Q1</f>
        <v>0</v>
      </c>
      <c r="N2" s="437"/>
      <c r="O2" s="155" t="s">
        <v>5</v>
      </c>
      <c r="P2" s="437">
        <f>'اختيار المقررات'!W1</f>
        <v>0</v>
      </c>
      <c r="Q2" s="437"/>
      <c r="R2" s="439"/>
      <c r="T2" s="132" t="b">
        <f>IF(AND(I13="A",H13=1),35000,IF(OR(I13="ج",I13="ر1",I13="ر2"),IF(H13=1,IF(OR($E$22=$AP$8,$E$22=$AP$9),0,IF($E$22=$AP$2,IF(I13="ج",4000,IF(I13="ر1",5200,IF(I13="ر2",6000,""))),IF(OR($E$22=$AP$3,$E$22=$AP$7),IF(I13="ج",2500,IF(I13="ر1",3250,IF(I13="ر2",3750,""))),IF($E$22=$AP$4,500,IF(OR($E$22=$AP$1,$E$22=$AP$5,$E$22=$AP$6),IF(I13="ج",4000,IF(I13="ر1",5500,IF(I13="ر2",6500,""))),IF(I13="ج",5000,IF(I13="ر1",6500,IF(I13="ر2",7500,"")))))))))))</f>
        <v>0</v>
      </c>
      <c r="AC2" s="133"/>
      <c r="AD2" s="218"/>
      <c r="AE2" s="219"/>
      <c r="AF2" s="219"/>
      <c r="AG2" s="219"/>
      <c r="AH2" s="220"/>
      <c r="AI2" s="136" t="s">
        <v>257</v>
      </c>
      <c r="AP2" s="137" t="s">
        <v>73</v>
      </c>
    </row>
    <row r="3" spans="2:42" ht="18.75" customHeight="1" thickTop="1" thickBot="1" x14ac:dyDescent="0.3">
      <c r="B3" s="409" t="s">
        <v>182</v>
      </c>
      <c r="C3" s="410"/>
      <c r="D3" s="411">
        <f>'اختيار المقررات'!E2</f>
        <v>0</v>
      </c>
      <c r="E3" s="411"/>
      <c r="F3" s="426"/>
      <c r="G3" s="426"/>
      <c r="H3" s="440"/>
      <c r="I3" s="440"/>
      <c r="J3" s="426"/>
      <c r="K3" s="426"/>
      <c r="L3" s="426"/>
      <c r="M3" s="157"/>
      <c r="N3" s="411"/>
      <c r="O3" s="411"/>
      <c r="P3" s="411"/>
      <c r="Q3" s="441"/>
      <c r="R3" s="442"/>
      <c r="X3" s="131">
        <v>1</v>
      </c>
      <c r="Y3" s="131">
        <f>IF(Z3&lt;&gt;"",X3,"")</f>
        <v>1</v>
      </c>
      <c r="Z3" s="131" t="str">
        <f>IF(LEN(M2)&lt;2,K2,"")</f>
        <v>اسم الاب:</v>
      </c>
      <c r="AA3" s="131">
        <f>IFERROR(SMALL($Y$3:$Y$22,X3),"")</f>
        <v>1</v>
      </c>
      <c r="AC3" s="134"/>
      <c r="AD3" s="134"/>
      <c r="AE3" s="443" t="str">
        <f>IFERROR(VLOOKUP(AA3,$X$3:$Z$22,3,0),"")</f>
        <v>اسم الاب:</v>
      </c>
      <c r="AF3" s="443"/>
      <c r="AG3" s="443"/>
      <c r="AH3" s="134"/>
      <c r="AI3" s="134"/>
      <c r="AP3" s="137" t="s">
        <v>45</v>
      </c>
    </row>
    <row r="4" spans="2:42" ht="14.4" thickTop="1" thickBot="1" x14ac:dyDescent="0.3">
      <c r="B4" s="409" t="s">
        <v>183</v>
      </c>
      <c r="C4" s="410"/>
      <c r="D4" s="426">
        <f>'اختيار المقررات'!E3</f>
        <v>0</v>
      </c>
      <c r="E4" s="426"/>
      <c r="F4" s="423" t="s">
        <v>184</v>
      </c>
      <c r="G4" s="423"/>
      <c r="H4" s="444">
        <f>'اختيار المقررات'!AB1</f>
        <v>0</v>
      </c>
      <c r="I4" s="444"/>
      <c r="J4" s="158" t="s">
        <v>185</v>
      </c>
      <c r="K4" s="426">
        <f>'اختيار المقررات'!AE1</f>
        <v>0</v>
      </c>
      <c r="L4" s="426"/>
      <c r="M4" s="426"/>
      <c r="N4" s="411"/>
      <c r="O4" s="411"/>
      <c r="P4" s="411"/>
      <c r="Q4" s="440"/>
      <c r="R4" s="445"/>
      <c r="X4" s="131">
        <v>2</v>
      </c>
      <c r="Y4" s="131">
        <f t="shared" ref="Y4:Y22" si="0">IF(Z4&lt;&gt;"",X4,"")</f>
        <v>2</v>
      </c>
      <c r="Z4" s="131" t="str">
        <f>IF(LEN(P2)&lt;2,O2,"")</f>
        <v>اسم الام:</v>
      </c>
      <c r="AA4" s="131">
        <f t="shared" ref="AA4:AA21" si="1">IFERROR(SMALL($Y$3:$Y$22,X4),"")</f>
        <v>2</v>
      </c>
      <c r="AC4" s="134"/>
      <c r="AD4" s="134"/>
      <c r="AE4" s="443" t="str">
        <f t="shared" ref="AE4:AE22" si="2">IFERROR(VLOOKUP(AA4,$X$3:$Z$22,3,0),"")</f>
        <v>اسم الام:</v>
      </c>
      <c r="AF4" s="443"/>
      <c r="AG4" s="443"/>
      <c r="AH4" s="134"/>
      <c r="AI4" s="134"/>
      <c r="AP4" s="138" t="s">
        <v>57</v>
      </c>
    </row>
    <row r="5" spans="2:42" ht="15.75" customHeight="1" thickTop="1" thickBot="1" x14ac:dyDescent="0.3">
      <c r="B5" s="409" t="s">
        <v>186</v>
      </c>
      <c r="C5" s="410"/>
      <c r="D5" s="426">
        <f>'اختيار المقررات'!L3</f>
        <v>0</v>
      </c>
      <c r="E5" s="426"/>
      <c r="F5" s="410" t="s">
        <v>187</v>
      </c>
      <c r="G5" s="410"/>
      <c r="H5" s="411">
        <f>'اختيار المقررات'!Q3</f>
        <v>0</v>
      </c>
      <c r="I5" s="411"/>
      <c r="J5" s="158" t="s">
        <v>188</v>
      </c>
      <c r="K5" s="411">
        <f>'اختيار المقررات'!AB3</f>
        <v>0</v>
      </c>
      <c r="L5" s="411"/>
      <c r="M5" s="411"/>
      <c r="N5" s="410" t="s">
        <v>189</v>
      </c>
      <c r="O5" s="410"/>
      <c r="P5" s="426" t="str">
        <f>'اختيار المقررات'!W3</f>
        <v>غير سوري</v>
      </c>
      <c r="Q5" s="426"/>
      <c r="R5" s="427"/>
      <c r="X5" s="131">
        <v>3</v>
      </c>
      <c r="Y5" s="131">
        <f t="shared" si="0"/>
        <v>3</v>
      </c>
      <c r="Z5" s="131">
        <f>IF(LEN(N3)&lt;2,Q3,"")</f>
        <v>0</v>
      </c>
      <c r="AA5" s="131">
        <f t="shared" si="1"/>
        <v>3</v>
      </c>
      <c r="AC5" s="134"/>
      <c r="AD5" s="134"/>
      <c r="AE5" s="443">
        <f t="shared" si="2"/>
        <v>0</v>
      </c>
      <c r="AF5" s="443"/>
      <c r="AG5" s="443"/>
      <c r="AH5" s="134"/>
      <c r="AI5" s="134"/>
      <c r="AP5" s="137" t="s">
        <v>135</v>
      </c>
    </row>
    <row r="6" spans="2:42" ht="15.75" customHeight="1" thickTop="1" thickBot="1" x14ac:dyDescent="0.3">
      <c r="B6" s="430" t="s">
        <v>190</v>
      </c>
      <c r="C6" s="423"/>
      <c r="D6" s="426">
        <f>'اختيار المقررات'!AE3</f>
        <v>0</v>
      </c>
      <c r="E6" s="426"/>
      <c r="F6" s="423" t="s">
        <v>191</v>
      </c>
      <c r="G6" s="423"/>
      <c r="H6" s="426">
        <f>'اختيار المقررات'!E4</f>
        <v>0</v>
      </c>
      <c r="I6" s="426"/>
      <c r="J6" s="156" t="s">
        <v>192</v>
      </c>
      <c r="K6" s="411">
        <f>'اختيار المقررات'!Q4</f>
        <v>0</v>
      </c>
      <c r="L6" s="411"/>
      <c r="M6" s="411"/>
      <c r="N6" s="423" t="s">
        <v>193</v>
      </c>
      <c r="O6" s="423"/>
      <c r="P6" s="426">
        <f>'اختيار المقررات'!L4</f>
        <v>0</v>
      </c>
      <c r="Q6" s="426"/>
      <c r="R6" s="427"/>
      <c r="X6" s="131">
        <v>4</v>
      </c>
      <c r="Y6" s="131">
        <f t="shared" si="0"/>
        <v>4</v>
      </c>
      <c r="Z6" s="131">
        <f>IF(LEN(J3)&lt;2,M3,"")</f>
        <v>0</v>
      </c>
      <c r="AA6" s="131">
        <f t="shared" si="1"/>
        <v>4</v>
      </c>
      <c r="AC6" s="134"/>
      <c r="AD6" s="134"/>
      <c r="AE6" s="443">
        <f t="shared" si="2"/>
        <v>0</v>
      </c>
      <c r="AF6" s="443"/>
      <c r="AG6" s="443"/>
      <c r="AH6" s="134"/>
      <c r="AI6" s="134"/>
      <c r="AP6" s="137" t="s">
        <v>136</v>
      </c>
    </row>
    <row r="7" spans="2:42" ht="15" customHeight="1" thickTop="1" thickBot="1" x14ac:dyDescent="0.3">
      <c r="B7" s="428" t="s">
        <v>194</v>
      </c>
      <c r="C7" s="429"/>
      <c r="D7" s="450">
        <f>'اختيار المقررات'!W4</f>
        <v>0</v>
      </c>
      <c r="E7" s="448"/>
      <c r="F7" s="429" t="s">
        <v>195</v>
      </c>
      <c r="G7" s="429"/>
      <c r="H7" s="446">
        <f>'اختيار المقررات'!AB4</f>
        <v>0</v>
      </c>
      <c r="I7" s="447"/>
      <c r="J7" s="159" t="s">
        <v>67</v>
      </c>
      <c r="K7" s="448">
        <f>'اختيار المقررات'!AE4</f>
        <v>0</v>
      </c>
      <c r="L7" s="448"/>
      <c r="M7" s="448"/>
      <c r="N7" s="448"/>
      <c r="O7" s="448"/>
      <c r="P7" s="448"/>
      <c r="Q7" s="448"/>
      <c r="R7" s="449"/>
      <c r="X7" s="131">
        <v>5</v>
      </c>
      <c r="Y7" s="131">
        <f t="shared" si="0"/>
        <v>5</v>
      </c>
      <c r="Z7" s="131">
        <f>IF(LEN(F3)&lt;2,H3,"")</f>
        <v>0</v>
      </c>
      <c r="AA7" s="131">
        <f t="shared" si="1"/>
        <v>5</v>
      </c>
      <c r="AC7" s="134"/>
      <c r="AD7" s="134"/>
      <c r="AE7" s="443">
        <f t="shared" si="2"/>
        <v>0</v>
      </c>
      <c r="AF7" s="443"/>
      <c r="AG7" s="443"/>
      <c r="AH7" s="134"/>
      <c r="AI7" s="134"/>
      <c r="AP7" s="137" t="s">
        <v>74</v>
      </c>
    </row>
    <row r="8" spans="2:42" ht="19.95" customHeight="1" thickTop="1" thickBot="1" x14ac:dyDescent="0.3">
      <c r="B8" s="424" t="str">
        <f>IF('اختيار المقررات'!E2="مستنفذ",'اختيار المقررات'!B6,IF(AD1&lt;&gt;"",AD1,AI2))</f>
        <v xml:space="preserve">                                                       المقررات المسجلة في الفصل الأول للعام الدراسي2025/2024
ملاحظة 1:تقع اختيار جميع هذه المقررات على مسؤولية الطالب.
ملاحظة 2 :لا تعدل هذه المقررات أو يضاف تسجيل أي مقرر بعد تسديد الرسوم وتثبيت التسجيل .</v>
      </c>
      <c r="C8" s="424"/>
      <c r="D8" s="424"/>
      <c r="E8" s="424"/>
      <c r="F8" s="424"/>
      <c r="G8" s="424"/>
      <c r="H8" s="424"/>
      <c r="I8" s="424"/>
      <c r="J8" s="424"/>
      <c r="K8" s="424"/>
      <c r="L8" s="424"/>
      <c r="M8" s="424"/>
      <c r="N8" s="424"/>
      <c r="O8" s="424"/>
      <c r="P8" s="424"/>
      <c r="Q8" s="424"/>
      <c r="R8" s="424"/>
      <c r="X8" s="131">
        <v>6</v>
      </c>
      <c r="Y8" s="131">
        <f>IF(Z8&lt;&gt;"",X8,"")</f>
        <v>6</v>
      </c>
      <c r="Z8" s="131" t="str">
        <f>IF(LEN(D4)&lt;2,B4,"")</f>
        <v>الجنس:</v>
      </c>
      <c r="AA8" s="131">
        <f t="shared" si="1"/>
        <v>6</v>
      </c>
      <c r="AC8" s="134"/>
      <c r="AD8" s="134"/>
      <c r="AE8" s="443" t="str">
        <f t="shared" si="2"/>
        <v>الجنس:</v>
      </c>
      <c r="AF8" s="443"/>
      <c r="AG8" s="443"/>
      <c r="AH8" s="134"/>
      <c r="AI8" s="134"/>
      <c r="AP8" s="137" t="s">
        <v>8</v>
      </c>
    </row>
    <row r="9" spans="2:42" ht="19.95" customHeight="1" thickTop="1" thickBot="1" x14ac:dyDescent="0.3">
      <c r="B9" s="425"/>
      <c r="C9" s="425"/>
      <c r="D9" s="425"/>
      <c r="E9" s="425"/>
      <c r="F9" s="425"/>
      <c r="G9" s="425"/>
      <c r="H9" s="425"/>
      <c r="I9" s="425"/>
      <c r="J9" s="425"/>
      <c r="K9" s="425"/>
      <c r="L9" s="425"/>
      <c r="M9" s="425"/>
      <c r="N9" s="425"/>
      <c r="O9" s="425"/>
      <c r="P9" s="425"/>
      <c r="Q9" s="425"/>
      <c r="R9" s="425"/>
      <c r="S9" s="138"/>
      <c r="T9" s="138"/>
      <c r="U9" s="138"/>
      <c r="X9" s="131">
        <v>7</v>
      </c>
      <c r="Y9" s="131">
        <f t="shared" si="0"/>
        <v>7</v>
      </c>
      <c r="Z9" s="131" t="str">
        <f>IF(LEN(H4)&lt;2,F4,"")</f>
        <v>تاريخ الميلاد:</v>
      </c>
      <c r="AA9" s="131">
        <f t="shared" si="1"/>
        <v>7</v>
      </c>
      <c r="AC9" s="134"/>
      <c r="AD9" s="134"/>
      <c r="AE9" s="443" t="str">
        <f t="shared" si="2"/>
        <v>تاريخ الميلاد:</v>
      </c>
      <c r="AF9" s="443"/>
      <c r="AG9" s="443"/>
      <c r="AH9" s="134"/>
      <c r="AI9" s="134"/>
      <c r="AP9" s="131" t="s">
        <v>15</v>
      </c>
    </row>
    <row r="10" spans="2:42" ht="19.95" customHeight="1" thickTop="1" thickBot="1" x14ac:dyDescent="0.3">
      <c r="B10" s="425"/>
      <c r="C10" s="425"/>
      <c r="D10" s="425"/>
      <c r="E10" s="425"/>
      <c r="F10" s="425"/>
      <c r="G10" s="425"/>
      <c r="H10" s="425"/>
      <c r="I10" s="425"/>
      <c r="J10" s="425"/>
      <c r="K10" s="425"/>
      <c r="L10" s="425"/>
      <c r="M10" s="425"/>
      <c r="N10" s="425"/>
      <c r="O10" s="425"/>
      <c r="P10" s="425"/>
      <c r="Q10" s="425"/>
      <c r="R10" s="425"/>
      <c r="S10" s="138"/>
      <c r="T10" s="138"/>
      <c r="U10" s="138"/>
      <c r="X10" s="131">
        <v>8</v>
      </c>
      <c r="Y10" s="131">
        <f t="shared" si="0"/>
        <v>8</v>
      </c>
      <c r="Z10" s="131" t="str">
        <f>IF(LEN(K4)&lt;2,J4,"")</f>
        <v>مكان الميلاد:</v>
      </c>
      <c r="AA10" s="131">
        <f t="shared" si="1"/>
        <v>8</v>
      </c>
      <c r="AC10" s="134"/>
      <c r="AD10" s="134"/>
      <c r="AE10" s="443" t="str">
        <f t="shared" si="2"/>
        <v>مكان الميلاد:</v>
      </c>
      <c r="AF10" s="443"/>
      <c r="AG10" s="443"/>
      <c r="AH10" s="134"/>
      <c r="AI10" s="134"/>
    </row>
    <row r="11" spans="2:42" ht="24" customHeight="1" thickTop="1" thickBot="1" x14ac:dyDescent="0.3">
      <c r="B11" s="139"/>
      <c r="C11" s="130" t="s">
        <v>28</v>
      </c>
      <c r="D11" s="420" t="s">
        <v>29</v>
      </c>
      <c r="E11" s="421"/>
      <c r="F11" s="421"/>
      <c r="G11" s="422"/>
      <c r="H11" s="141"/>
      <c r="I11" s="142"/>
      <c r="J11" s="139"/>
      <c r="K11" s="140" t="s">
        <v>28</v>
      </c>
      <c r="L11" s="420" t="s">
        <v>29</v>
      </c>
      <c r="M11" s="421"/>
      <c r="N11" s="421"/>
      <c r="O11" s="422"/>
      <c r="P11" s="141"/>
      <c r="Q11" s="143"/>
      <c r="R11" s="144"/>
      <c r="S11" s="145"/>
      <c r="T11" s="145"/>
      <c r="U11" s="146"/>
      <c r="V11" s="131" t="str">
        <f>IFERROR(SMALL('اختيار المقررات'!$AL$8:$AL$56,'اختيار المقررات'!AM8),"")</f>
        <v/>
      </c>
      <c r="X11" s="131">
        <v>9</v>
      </c>
      <c r="Y11" s="131">
        <f t="shared" si="0"/>
        <v>9</v>
      </c>
      <c r="Z11" s="131">
        <f>IF(LEN(N4)&lt;2,Q4,"")</f>
        <v>0</v>
      </c>
      <c r="AA11" s="131">
        <f t="shared" si="1"/>
        <v>9</v>
      </c>
      <c r="AC11" s="134"/>
      <c r="AD11" s="134"/>
      <c r="AE11" s="443">
        <f t="shared" si="2"/>
        <v>0</v>
      </c>
      <c r="AF11" s="443"/>
      <c r="AG11" s="443"/>
      <c r="AH11" s="134"/>
      <c r="AI11" s="134"/>
    </row>
    <row r="12" spans="2:42" ht="15.6" customHeight="1" thickTop="1" thickBot="1" x14ac:dyDescent="0.3">
      <c r="B12" s="147" t="str">
        <f t="shared" ref="B12:B18" si="3">IF($AJ$1&gt;0,"",V11)</f>
        <v/>
      </c>
      <c r="C12" s="163" t="str">
        <f>IFERROR(VLOOKUP(B12,'اختيار المقررات'!AU5:BP53,2,0),"")</f>
        <v/>
      </c>
      <c r="D12" s="419" t="str">
        <f>IFERROR(VLOOKUP(B12,'اختيار المقررات'!AU5:BP53,3,0),"")</f>
        <v/>
      </c>
      <c r="E12" s="419"/>
      <c r="F12" s="419"/>
      <c r="G12" s="419"/>
      <c r="H12" s="148" t="str">
        <f>IFERROR(VLOOKUP(B12,'اختيار المقررات'!AU5:BP53,4,0),"")</f>
        <v/>
      </c>
      <c r="I12" s="149" t="str">
        <f>IFERROR(VLOOKUP(B12,'اختيار المقررات'!AU5:BP53,5,0),"")</f>
        <v/>
      </c>
      <c r="J12" s="147" t="str">
        <f>IF($AJ$1&gt;0,"",V18)</f>
        <v/>
      </c>
      <c r="K12" s="163" t="str">
        <f>IFERROR(VLOOKUP(J12,'اختيار المقررات'!AU5:BP53,2,0),"")</f>
        <v/>
      </c>
      <c r="L12" s="419" t="str">
        <f>IFERROR(VLOOKUP(J12,'اختيار المقررات'!AU5:BP53,3,0),"")</f>
        <v/>
      </c>
      <c r="M12" s="419"/>
      <c r="N12" s="419"/>
      <c r="O12" s="419"/>
      <c r="P12" s="148" t="str">
        <f>IFERROR(VLOOKUP(J12,'اختيار المقررات'!AU5:BP53,4,0),"")</f>
        <v/>
      </c>
      <c r="Q12" s="149" t="str">
        <f>IFERROR(VLOOKUP(J12,'اختيار المقررات'!AU5:BP53,5,0),"")</f>
        <v/>
      </c>
      <c r="R12" s="150"/>
      <c r="T12" s="151"/>
      <c r="V12" s="131" t="str">
        <f>IFERROR(SMALL('اختيار المقررات'!$AL$8:$AL$56,'اختيار المقررات'!AM9),"")</f>
        <v/>
      </c>
      <c r="X12" s="131">
        <v>10</v>
      </c>
      <c r="Y12" s="131">
        <f t="shared" si="0"/>
        <v>10</v>
      </c>
      <c r="Z12" s="131" t="str">
        <f>IF(LEN(D5)&lt;2,B5,"")</f>
        <v>الجنسية:</v>
      </c>
      <c r="AA12" s="131">
        <f t="shared" si="1"/>
        <v>10</v>
      </c>
      <c r="AC12" s="134"/>
      <c r="AD12" s="134"/>
      <c r="AE12" s="443" t="str">
        <f t="shared" si="2"/>
        <v>الجنسية:</v>
      </c>
      <c r="AF12" s="443"/>
      <c r="AG12" s="443"/>
      <c r="AH12" s="134"/>
      <c r="AI12" s="134"/>
    </row>
    <row r="13" spans="2:42" ht="15.6" customHeight="1" thickTop="1" thickBot="1" x14ac:dyDescent="0.3">
      <c r="B13" s="147" t="str">
        <f t="shared" si="3"/>
        <v/>
      </c>
      <c r="C13" s="163" t="str">
        <f>IFERROR(VLOOKUP(B13,'اختيار المقررات'!AU6:BP54,2,0),"")</f>
        <v/>
      </c>
      <c r="D13" s="419" t="str">
        <f>IFERROR(VLOOKUP(B13,'اختيار المقررات'!AU6:BP54,3,0),"")</f>
        <v/>
      </c>
      <c r="E13" s="419"/>
      <c r="F13" s="419"/>
      <c r="G13" s="419"/>
      <c r="H13" s="148" t="str">
        <f>IFERROR(VLOOKUP(B13,'اختيار المقررات'!AU6:BP54,4,0),"")</f>
        <v/>
      </c>
      <c r="I13" s="149" t="str">
        <f>IFERROR(VLOOKUP(B13,'اختيار المقررات'!AU6:BP54,5,0),"")</f>
        <v/>
      </c>
      <c r="J13" s="147" t="str">
        <f t="shared" ref="J13:J18" si="4">IF($AJ$1&gt;0,"",V19)</f>
        <v/>
      </c>
      <c r="K13" s="163" t="str">
        <f>IFERROR(VLOOKUP(J13,'اختيار المقررات'!AU6:BP54,2,0),"")</f>
        <v/>
      </c>
      <c r="L13" s="419" t="str">
        <f>IFERROR(VLOOKUP(J13,'اختيار المقررات'!AU6:BP54,3,0),"")</f>
        <v/>
      </c>
      <c r="M13" s="419"/>
      <c r="N13" s="419"/>
      <c r="O13" s="419"/>
      <c r="P13" s="148" t="str">
        <f>IFERROR(VLOOKUP(J13,'اختيار المقررات'!AU6:BP54,4,0),"")</f>
        <v/>
      </c>
      <c r="Q13" s="149" t="str">
        <f>IFERROR(VLOOKUP(J13,'اختيار المقررات'!AU6:BP54,5,0),"")</f>
        <v/>
      </c>
      <c r="R13" s="150"/>
      <c r="S13" s="151"/>
      <c r="T13" s="151"/>
      <c r="U13" s="139"/>
      <c r="V13" s="131" t="str">
        <f>IFERROR(SMALL('اختيار المقررات'!$AL$8:$AL$56,'اختيار المقررات'!AM10),"")</f>
        <v/>
      </c>
      <c r="X13" s="131">
        <v>11</v>
      </c>
      <c r="Y13" s="131">
        <f t="shared" si="0"/>
        <v>11</v>
      </c>
      <c r="Z13" s="131" t="str">
        <f>IF(LEN(H5)&lt;2,F5,"")</f>
        <v>الرقم الوطني:</v>
      </c>
      <c r="AA13" s="131">
        <f t="shared" si="1"/>
        <v>11</v>
      </c>
      <c r="AC13" s="134"/>
      <c r="AD13" s="134"/>
      <c r="AE13" s="443" t="str">
        <f t="shared" si="2"/>
        <v>الرقم الوطني:</v>
      </c>
      <c r="AF13" s="443"/>
      <c r="AG13" s="443"/>
      <c r="AH13" s="134"/>
      <c r="AI13" s="134"/>
    </row>
    <row r="14" spans="2:42" ht="15.6" customHeight="1" thickTop="1" thickBot="1" x14ac:dyDescent="0.3">
      <c r="B14" s="147" t="str">
        <f t="shared" si="3"/>
        <v/>
      </c>
      <c r="C14" s="163" t="str">
        <f>IFERROR(VLOOKUP(B14,'اختيار المقررات'!AU7:BP55,2,0),"")</f>
        <v/>
      </c>
      <c r="D14" s="419" t="str">
        <f>IFERROR(VLOOKUP(B14,'اختيار المقررات'!AU7:BP55,3,0),"")</f>
        <v/>
      </c>
      <c r="E14" s="419"/>
      <c r="F14" s="419"/>
      <c r="G14" s="419"/>
      <c r="H14" s="148" t="str">
        <f>IFERROR(VLOOKUP(B14,'اختيار المقررات'!AU7:BP55,4,0),"")</f>
        <v/>
      </c>
      <c r="I14" s="149" t="str">
        <f>IFERROR(VLOOKUP(B14,'اختيار المقررات'!AU7:BP55,5,0),"")</f>
        <v/>
      </c>
      <c r="J14" s="147" t="str">
        <f t="shared" si="4"/>
        <v/>
      </c>
      <c r="K14" s="163" t="str">
        <f>IFERROR(VLOOKUP(J14,'اختيار المقررات'!AU7:BP55,2,0),"")</f>
        <v/>
      </c>
      <c r="L14" s="419" t="str">
        <f>IFERROR(VLOOKUP(J14,'اختيار المقررات'!AU7:BP55,3,0),"")</f>
        <v/>
      </c>
      <c r="M14" s="419"/>
      <c r="N14" s="419"/>
      <c r="O14" s="419"/>
      <c r="P14" s="148" t="str">
        <f>IFERROR(VLOOKUP(J14,'اختيار المقررات'!AU7:BP55,4,0),"")</f>
        <v/>
      </c>
      <c r="Q14" s="149" t="str">
        <f>IFERROR(VLOOKUP(J14,'اختيار المقررات'!AU7:BP55,5,0),"")</f>
        <v/>
      </c>
      <c r="R14" s="150"/>
      <c r="S14" s="151"/>
      <c r="T14" s="151"/>
      <c r="U14" s="139"/>
      <c r="V14" s="131" t="str">
        <f>IFERROR(SMALL('اختيار المقررات'!$AL$8:$AL$56,'اختيار المقررات'!AM11),"")</f>
        <v/>
      </c>
      <c r="X14" s="131">
        <v>12</v>
      </c>
      <c r="Y14" s="131">
        <f t="shared" si="0"/>
        <v>12</v>
      </c>
      <c r="Z14" s="131" t="str">
        <f>IF(LEN(K5)&lt;2,J5,"")</f>
        <v>مكان ورقم القيد:</v>
      </c>
      <c r="AA14" s="131">
        <f t="shared" si="1"/>
        <v>12</v>
      </c>
      <c r="AC14" s="134"/>
      <c r="AD14" s="134"/>
      <c r="AE14" s="443" t="str">
        <f t="shared" si="2"/>
        <v>مكان ورقم القيد:</v>
      </c>
      <c r="AF14" s="443"/>
      <c r="AG14" s="443"/>
      <c r="AH14" s="134"/>
      <c r="AI14" s="134"/>
    </row>
    <row r="15" spans="2:42" ht="15.6" customHeight="1" thickTop="1" thickBot="1" x14ac:dyDescent="0.3">
      <c r="B15" s="147" t="str">
        <f t="shared" si="3"/>
        <v/>
      </c>
      <c r="C15" s="163" t="str">
        <f>IFERROR(VLOOKUP(B15,'اختيار المقررات'!AU8:BP56,2,0),"")</f>
        <v/>
      </c>
      <c r="D15" s="419" t="str">
        <f>IFERROR(VLOOKUP(B15,'اختيار المقررات'!AU8:BP56,3,0),"")</f>
        <v/>
      </c>
      <c r="E15" s="419"/>
      <c r="F15" s="419"/>
      <c r="G15" s="419"/>
      <c r="H15" s="148" t="str">
        <f>IFERROR(VLOOKUP(B15,'اختيار المقررات'!AU8:BP56,4,0),"")</f>
        <v/>
      </c>
      <c r="I15" s="149" t="str">
        <f>IFERROR(VLOOKUP(B15,'اختيار المقررات'!AU8:BP56,5,0),"")</f>
        <v/>
      </c>
      <c r="J15" s="147" t="str">
        <f t="shared" si="4"/>
        <v/>
      </c>
      <c r="K15" s="163" t="str">
        <f>IFERROR(VLOOKUP(J15,'اختيار المقررات'!AU8:BP56,2,0),"")</f>
        <v/>
      </c>
      <c r="L15" s="419" t="str">
        <f>IFERROR(VLOOKUP(J15,'اختيار المقررات'!AU8:BP56,3,0),"")</f>
        <v/>
      </c>
      <c r="M15" s="419"/>
      <c r="N15" s="419"/>
      <c r="O15" s="419"/>
      <c r="P15" s="148" t="str">
        <f>IFERROR(VLOOKUP(J15,'اختيار المقررات'!AU8:BP56,4,0),"")</f>
        <v/>
      </c>
      <c r="Q15" s="149" t="str">
        <f>IFERROR(VLOOKUP(J15,'اختيار المقررات'!AU8:BP56,5,0),"")</f>
        <v/>
      </c>
      <c r="R15" s="150"/>
      <c r="S15" s="151"/>
      <c r="T15" s="151"/>
      <c r="U15" s="139"/>
      <c r="V15" s="131" t="str">
        <f>IFERROR(SMALL('اختيار المقررات'!$AL$8:$AL$56,'اختيار المقررات'!AM12),"")</f>
        <v/>
      </c>
      <c r="X15" s="131">
        <v>13</v>
      </c>
      <c r="Y15" s="131" t="str">
        <f t="shared" si="0"/>
        <v/>
      </c>
      <c r="Z15" s="131" t="str">
        <f>IF(LEN(P5)&lt;2,N5,"")</f>
        <v/>
      </c>
      <c r="AA15" s="131">
        <f t="shared" si="1"/>
        <v>14</v>
      </c>
      <c r="AC15" s="134"/>
      <c r="AD15" s="134"/>
      <c r="AE15" s="443" t="str">
        <f t="shared" si="2"/>
        <v>شعبة التجنيد:</v>
      </c>
      <c r="AF15" s="443"/>
      <c r="AG15" s="443"/>
      <c r="AH15" s="134"/>
      <c r="AI15" s="134"/>
    </row>
    <row r="16" spans="2:42" ht="15.6" customHeight="1" thickTop="1" thickBot="1" x14ac:dyDescent="0.3">
      <c r="B16" s="147" t="str">
        <f t="shared" si="3"/>
        <v/>
      </c>
      <c r="C16" s="163" t="str">
        <f>IFERROR(VLOOKUP(B16,'اختيار المقررات'!AU9:BP57,2,0),"")</f>
        <v/>
      </c>
      <c r="D16" s="419" t="str">
        <f>IFERROR(VLOOKUP(B16,'اختيار المقررات'!AU9:BP57,3,0),"")</f>
        <v/>
      </c>
      <c r="E16" s="419"/>
      <c r="F16" s="419"/>
      <c r="G16" s="419"/>
      <c r="H16" s="148" t="str">
        <f>IFERROR(VLOOKUP(B16,'اختيار المقررات'!AU9:BP57,4,0),"")</f>
        <v/>
      </c>
      <c r="I16" s="149" t="str">
        <f>IFERROR(VLOOKUP(B16,'اختيار المقررات'!AU9:BP57,5,0),"")</f>
        <v/>
      </c>
      <c r="J16" s="147" t="str">
        <f t="shared" si="4"/>
        <v/>
      </c>
      <c r="K16" s="163" t="str">
        <f>IFERROR(VLOOKUP(J16,'اختيار المقررات'!AU9:BP57,2,0),"")</f>
        <v/>
      </c>
      <c r="L16" s="419" t="str">
        <f>IFERROR(VLOOKUP(J16,'اختيار المقررات'!AU9:BP57,3,0),"")</f>
        <v/>
      </c>
      <c r="M16" s="419"/>
      <c r="N16" s="419"/>
      <c r="O16" s="419"/>
      <c r="P16" s="148" t="str">
        <f>IFERROR(VLOOKUP(J16,'اختيار المقررات'!AU9:BP57,4,0),"")</f>
        <v/>
      </c>
      <c r="Q16" s="149" t="str">
        <f>IFERROR(VLOOKUP(J16,'اختيار المقررات'!AU9:BP57,5,0),"")</f>
        <v/>
      </c>
      <c r="R16" s="150"/>
      <c r="S16" s="151"/>
      <c r="T16" s="151"/>
      <c r="U16" s="139"/>
      <c r="V16" s="131" t="str">
        <f>IFERROR(SMALL('اختيار المقررات'!$AL$8:$AL$56,'اختيار المقررات'!AM13),"")</f>
        <v/>
      </c>
      <c r="X16" s="131">
        <v>14</v>
      </c>
      <c r="Y16" s="131">
        <f t="shared" si="0"/>
        <v>14</v>
      </c>
      <c r="Z16" s="131" t="str">
        <f>IF(LEN(D6)&lt;2,B6,"")</f>
        <v>شعبة التجنيد:</v>
      </c>
      <c r="AA16" s="131">
        <f t="shared" si="1"/>
        <v>15</v>
      </c>
      <c r="AC16" s="134"/>
      <c r="AD16" s="134"/>
      <c r="AE16" s="443" t="str">
        <f t="shared" si="2"/>
        <v>نوع الثانوية:</v>
      </c>
      <c r="AF16" s="443"/>
      <c r="AG16" s="443"/>
      <c r="AH16" s="134"/>
      <c r="AI16" s="134"/>
    </row>
    <row r="17" spans="2:35" ht="15.6" customHeight="1" thickTop="1" thickBot="1" x14ac:dyDescent="0.3">
      <c r="B17" s="147" t="str">
        <f t="shared" si="3"/>
        <v/>
      </c>
      <c r="C17" s="163" t="str">
        <f>IFERROR(VLOOKUP(B17,'اختيار المقررات'!AU10:BP58,2,0),"")</f>
        <v/>
      </c>
      <c r="D17" s="419" t="str">
        <f>IFERROR(VLOOKUP(B17,'اختيار المقررات'!AU10:BP58,3,0),"")</f>
        <v/>
      </c>
      <c r="E17" s="419"/>
      <c r="F17" s="419"/>
      <c r="G17" s="419"/>
      <c r="H17" s="148" t="str">
        <f>IFERROR(VLOOKUP(B17,'اختيار المقررات'!AU10:BP58,4,0),"")</f>
        <v/>
      </c>
      <c r="I17" s="149" t="str">
        <f>IFERROR(VLOOKUP(B17,'اختيار المقررات'!AU10:BP58,5,0),"")</f>
        <v/>
      </c>
      <c r="J17" s="147" t="str">
        <f t="shared" si="4"/>
        <v/>
      </c>
      <c r="K17" s="163" t="str">
        <f>IFERROR(VLOOKUP(J17,'اختيار المقررات'!AU10:BP58,2,0),"")</f>
        <v/>
      </c>
      <c r="L17" s="419" t="str">
        <f>IFERROR(VLOOKUP(J17,'اختيار المقررات'!AU10:BP58,3,0),"")</f>
        <v/>
      </c>
      <c r="M17" s="419"/>
      <c r="N17" s="419"/>
      <c r="O17" s="419"/>
      <c r="P17" s="148" t="str">
        <f>IFERROR(VLOOKUP(J17,'اختيار المقررات'!AU10:BP58,4,0),"")</f>
        <v/>
      </c>
      <c r="Q17" s="149" t="str">
        <f>IFERROR(VLOOKUP(J17,'اختيار المقررات'!AU10:BP58,5,0),"")</f>
        <v/>
      </c>
      <c r="R17" s="150"/>
      <c r="S17" s="151"/>
      <c r="T17" s="151"/>
      <c r="U17" s="139"/>
      <c r="V17" s="131" t="str">
        <f>IFERROR(SMALL('اختيار المقررات'!$AL$8:$AL$56,'اختيار المقررات'!AM14),"")</f>
        <v/>
      </c>
      <c r="X17" s="131">
        <v>15</v>
      </c>
      <c r="Y17" s="131">
        <f t="shared" si="0"/>
        <v>15</v>
      </c>
      <c r="Z17" s="131" t="str">
        <f>IF(LEN(H6)&lt;2,F6,"")</f>
        <v>نوع الثانوية:</v>
      </c>
      <c r="AA17" s="131">
        <f t="shared" si="1"/>
        <v>16</v>
      </c>
      <c r="AC17" s="134"/>
      <c r="AD17" s="134"/>
      <c r="AE17" s="443" t="str">
        <f t="shared" si="2"/>
        <v>محافظتها:</v>
      </c>
      <c r="AF17" s="443"/>
      <c r="AG17" s="443"/>
      <c r="AH17" s="134"/>
      <c r="AI17" s="134"/>
    </row>
    <row r="18" spans="2:35" ht="15.6" customHeight="1" thickTop="1" thickBot="1" x14ac:dyDescent="0.3">
      <c r="B18" s="147" t="str">
        <f t="shared" si="3"/>
        <v/>
      </c>
      <c r="C18" s="163" t="str">
        <f>IFERROR(VLOOKUP(B18,'اختيار المقررات'!AU11:BP59,2,0),"")</f>
        <v/>
      </c>
      <c r="D18" s="419" t="str">
        <f>IFERROR(VLOOKUP(B18,'اختيار المقررات'!AU11:BP59,3,0),"")</f>
        <v/>
      </c>
      <c r="E18" s="419"/>
      <c r="F18" s="419"/>
      <c r="G18" s="419"/>
      <c r="H18" s="148" t="str">
        <f>IFERROR(VLOOKUP(B18,'اختيار المقررات'!AU11:BP59,4,0),"")</f>
        <v/>
      </c>
      <c r="I18" s="149" t="str">
        <f>IFERROR(VLOOKUP(B18,'اختيار المقررات'!AU11:BP59,5,0),"")</f>
        <v/>
      </c>
      <c r="J18" s="147" t="str">
        <f t="shared" si="4"/>
        <v/>
      </c>
      <c r="K18" s="163" t="str">
        <f>IFERROR(VLOOKUP(J18,'اختيار المقررات'!AU11:BP59,2,0),"")</f>
        <v/>
      </c>
      <c r="L18" s="419" t="str">
        <f>IFERROR(VLOOKUP(J18,'اختيار المقررات'!AU11:BP59,3,0),"")</f>
        <v/>
      </c>
      <c r="M18" s="419"/>
      <c r="N18" s="419"/>
      <c r="O18" s="419"/>
      <c r="P18" s="148" t="str">
        <f>IFERROR(VLOOKUP(J18,'اختيار المقررات'!AU11:BP59,4,0),"")</f>
        <v/>
      </c>
      <c r="Q18" s="149" t="str">
        <f>IFERROR(VLOOKUP(J18,'اختيار المقررات'!AU11:BP59,5,0),"")</f>
        <v/>
      </c>
      <c r="R18" s="150"/>
      <c r="S18" s="151"/>
      <c r="T18" s="151"/>
      <c r="U18" s="139"/>
      <c r="V18" s="131" t="str">
        <f>IFERROR(SMALL('اختيار المقررات'!$AL$8:$AL$56,'اختيار المقررات'!AM15),"")</f>
        <v/>
      </c>
      <c r="X18" s="131">
        <v>16</v>
      </c>
      <c r="Y18" s="131">
        <f t="shared" si="0"/>
        <v>16</v>
      </c>
      <c r="Z18" s="131" t="str">
        <f>IF(LEN(K6)&lt;2,J6,"")</f>
        <v>محافظتها:</v>
      </c>
      <c r="AA18" s="131">
        <f t="shared" si="1"/>
        <v>17</v>
      </c>
      <c r="AC18" s="134"/>
      <c r="AD18" s="134"/>
      <c r="AE18" s="443" t="str">
        <f t="shared" si="2"/>
        <v>عامها:</v>
      </c>
      <c r="AF18" s="443"/>
      <c r="AG18" s="443"/>
      <c r="AH18" s="134"/>
      <c r="AI18" s="134"/>
    </row>
    <row r="19" spans="2:35" ht="15.6" customHeight="1" thickTop="1" thickBot="1" x14ac:dyDescent="0.3">
      <c r="B19" s="452">
        <f>'إدخال البيانات'!A2</f>
        <v>0</v>
      </c>
      <c r="C19" s="452"/>
      <c r="D19" s="452"/>
      <c r="E19" s="452"/>
      <c r="F19" s="452"/>
      <c r="G19" s="452"/>
      <c r="H19" s="452"/>
      <c r="I19" s="452"/>
      <c r="J19" s="452"/>
      <c r="K19" s="452"/>
      <c r="L19" s="452"/>
      <c r="M19" s="452"/>
      <c r="N19" s="452"/>
      <c r="O19" s="452"/>
      <c r="P19" s="452"/>
      <c r="Q19" s="452"/>
      <c r="R19" s="452"/>
      <c r="S19" s="151"/>
      <c r="T19" s="151"/>
      <c r="U19" s="139"/>
      <c r="V19" s="131" t="str">
        <f>IFERROR(SMALL('اختيار المقررات'!$AL$8:$AL$56,'اختيار المقررات'!AM16),"")</f>
        <v/>
      </c>
      <c r="X19" s="131">
        <v>17</v>
      </c>
      <c r="Y19" s="131">
        <f t="shared" si="0"/>
        <v>17</v>
      </c>
      <c r="Z19" s="131" t="str">
        <f>IF(LEN(P6)&lt;2,N6,"")</f>
        <v>عامها:</v>
      </c>
      <c r="AA19" s="131">
        <f t="shared" si="1"/>
        <v>18</v>
      </c>
      <c r="AC19" s="134"/>
      <c r="AD19" s="134"/>
      <c r="AE19" s="443" t="str">
        <f t="shared" si="2"/>
        <v>الموبايل:</v>
      </c>
      <c r="AF19" s="443"/>
      <c r="AG19" s="443"/>
      <c r="AH19" s="134"/>
      <c r="AI19" s="134"/>
    </row>
    <row r="20" spans="2:35" ht="15.6" customHeight="1" thickTop="1" thickBot="1" x14ac:dyDescent="0.3">
      <c r="B20" s="453"/>
      <c r="C20" s="453"/>
      <c r="D20" s="453"/>
      <c r="E20" s="453"/>
      <c r="F20" s="453"/>
      <c r="G20" s="453"/>
      <c r="H20" s="453"/>
      <c r="I20" s="453"/>
      <c r="J20" s="453"/>
      <c r="K20" s="453"/>
      <c r="L20" s="453"/>
      <c r="M20" s="453"/>
      <c r="N20" s="453"/>
      <c r="O20" s="453"/>
      <c r="P20" s="453"/>
      <c r="Q20" s="453"/>
      <c r="R20" s="453"/>
      <c r="S20" s="151"/>
      <c r="T20" s="151"/>
      <c r="U20" s="139"/>
      <c r="V20" s="131" t="str">
        <f>IFERROR(SMALL('اختيار المقررات'!$AL$8:$AL$56,'اختيار المقررات'!AM17),"")</f>
        <v/>
      </c>
      <c r="X20" s="131">
        <v>18</v>
      </c>
      <c r="Y20" s="131">
        <f t="shared" si="0"/>
        <v>18</v>
      </c>
      <c r="Z20" s="131" t="str">
        <f>IF(LEN(D7)&lt;2,B7,"")</f>
        <v>الموبايل:</v>
      </c>
      <c r="AA20" s="131">
        <f t="shared" si="1"/>
        <v>19</v>
      </c>
      <c r="AC20" s="134"/>
      <c r="AD20" s="134"/>
      <c r="AE20" s="443" t="str">
        <f t="shared" si="2"/>
        <v>الهاتف:</v>
      </c>
      <c r="AF20" s="443"/>
      <c r="AG20" s="443"/>
      <c r="AH20" s="134"/>
      <c r="AI20" s="134"/>
    </row>
    <row r="21" spans="2:35" ht="15.6" customHeight="1" thickTop="1" thickBot="1" x14ac:dyDescent="0.3">
      <c r="B21" s="454" t="s">
        <v>76</v>
      </c>
      <c r="C21" s="455"/>
      <c r="D21" s="455"/>
      <c r="E21" s="455"/>
      <c r="F21" s="125">
        <f>'اختيار المقررات'!AD25</f>
        <v>0</v>
      </c>
      <c r="G21" s="455" t="s">
        <v>77</v>
      </c>
      <c r="H21" s="455"/>
      <c r="I21" s="455"/>
      <c r="J21" s="455"/>
      <c r="K21" s="457">
        <f>'اختيار المقررات'!AD26</f>
        <v>0</v>
      </c>
      <c r="L21" s="457"/>
      <c r="M21" s="455" t="str">
        <f>'اختيار المقررات'!Y27</f>
        <v>عدد المقررات المسجلة</v>
      </c>
      <c r="N21" s="455"/>
      <c r="O21" s="455"/>
      <c r="P21" s="455"/>
      <c r="Q21" s="457">
        <f>'اختيار المقررات'!AD27</f>
        <v>0</v>
      </c>
      <c r="R21" s="477"/>
      <c r="S21" s="152"/>
      <c r="V21" s="131" t="str">
        <f>IFERROR(SMALL('اختيار المقررات'!$AL$8:$AL$56,'اختيار المقررات'!AM18),"")</f>
        <v/>
      </c>
      <c r="X21" s="131">
        <v>19</v>
      </c>
      <c r="Y21" s="131">
        <f t="shared" si="0"/>
        <v>19</v>
      </c>
      <c r="Z21" s="131" t="str">
        <f>IF(LEN(H7)&lt;2,F7,"")</f>
        <v>الهاتف:</v>
      </c>
      <c r="AA21" s="131">
        <f t="shared" si="1"/>
        <v>20</v>
      </c>
      <c r="AC21" s="134"/>
      <c r="AD21" s="134"/>
      <c r="AE21" s="443" t="str">
        <f t="shared" si="2"/>
        <v>العنوان :</v>
      </c>
      <c r="AF21" s="443"/>
      <c r="AG21" s="443"/>
      <c r="AH21" s="134"/>
      <c r="AI21" s="134"/>
    </row>
    <row r="22" spans="2:35" ht="15.6" customHeight="1" thickTop="1" x14ac:dyDescent="0.25">
      <c r="B22" s="412" t="s">
        <v>71</v>
      </c>
      <c r="C22" s="413"/>
      <c r="D22" s="413"/>
      <c r="E22" s="414">
        <f>'اختيار المقررات'!F5</f>
        <v>0</v>
      </c>
      <c r="F22" s="414"/>
      <c r="G22" s="414"/>
      <c r="H22" s="414"/>
      <c r="I22" s="415"/>
      <c r="J22" s="105" t="s">
        <v>58</v>
      </c>
      <c r="K22" s="416">
        <f>'اختيار المقررات'!Q5</f>
        <v>0</v>
      </c>
      <c r="L22" s="416"/>
      <c r="M22" s="126" t="s">
        <v>0</v>
      </c>
      <c r="N22" s="456">
        <f>'اختيار المقررات'!W5</f>
        <v>0</v>
      </c>
      <c r="O22" s="456"/>
      <c r="P22" s="417"/>
      <c r="Q22" s="417"/>
      <c r="R22" s="418"/>
      <c r="V22" s="131" t="str">
        <f>IFERROR(SMALL('اختيار المقررات'!$AL$8:$AL$56,'اختيار المقررات'!AM19),"")</f>
        <v/>
      </c>
      <c r="X22" s="131">
        <v>20</v>
      </c>
      <c r="Y22" s="131">
        <f t="shared" si="0"/>
        <v>20</v>
      </c>
      <c r="Z22" s="131" t="str">
        <f>IF(LEN(K7)&lt;2,J7,"")</f>
        <v>العنوان :</v>
      </c>
      <c r="AC22" s="134"/>
      <c r="AD22" s="134"/>
      <c r="AE22" s="443" t="str">
        <f t="shared" si="2"/>
        <v/>
      </c>
      <c r="AF22" s="443"/>
      <c r="AG22" s="443"/>
      <c r="AH22" s="134"/>
      <c r="AI22" s="134"/>
    </row>
    <row r="23" spans="2:35" ht="15.6" customHeight="1" x14ac:dyDescent="0.25">
      <c r="B23" s="478" t="s">
        <v>75</v>
      </c>
      <c r="C23" s="479"/>
      <c r="D23" s="479"/>
      <c r="E23" s="480">
        <f>'اختيار المقررات'!N25</f>
        <v>12000</v>
      </c>
      <c r="F23" s="480"/>
      <c r="G23" s="481"/>
      <c r="H23" s="459" t="s">
        <v>196</v>
      </c>
      <c r="I23" s="460"/>
      <c r="J23" s="461">
        <f>'اختيار المقررات'!V25</f>
        <v>0</v>
      </c>
      <c r="K23" s="461"/>
      <c r="L23" s="462"/>
      <c r="M23" s="451" t="s">
        <v>137</v>
      </c>
      <c r="N23" s="451"/>
      <c r="O23" s="451" t="s">
        <v>138</v>
      </c>
      <c r="P23" s="451"/>
      <c r="Q23" s="451" t="s">
        <v>148</v>
      </c>
      <c r="R23" s="451"/>
      <c r="V23" s="131" t="str">
        <f>IFERROR(SMALL('اختيار المقررات'!$AL$8:$AL$56,'اختيار المقررات'!AM20),"")</f>
        <v/>
      </c>
    </row>
    <row r="24" spans="2:35" ht="15.6" customHeight="1" x14ac:dyDescent="0.25">
      <c r="B24" s="478" t="s">
        <v>139</v>
      </c>
      <c r="C24" s="479"/>
      <c r="D24" s="479"/>
      <c r="E24" s="465">
        <f>'اختيار المقررات'!N27</f>
        <v>0</v>
      </c>
      <c r="F24" s="465"/>
      <c r="G24" s="466"/>
      <c r="H24" s="463" t="s">
        <v>25</v>
      </c>
      <c r="I24" s="464"/>
      <c r="J24" s="465">
        <f>'اختيار المقررات'!N26</f>
        <v>0</v>
      </c>
      <c r="K24" s="465"/>
      <c r="L24" s="466"/>
      <c r="M24" s="451"/>
      <c r="N24" s="451"/>
      <c r="O24" s="451"/>
      <c r="P24" s="451"/>
      <c r="Q24" s="451"/>
      <c r="R24" s="451"/>
      <c r="V24" s="131" t="str">
        <f>IFERROR(SMALL('اختيار المقررات'!$AL$8:$AL$56,'اختيار المقررات'!AM21),"")</f>
        <v/>
      </c>
    </row>
    <row r="25" spans="2:35" ht="15.6" customHeight="1" x14ac:dyDescent="0.25">
      <c r="B25" s="478" t="s">
        <v>133</v>
      </c>
      <c r="C25" s="479"/>
      <c r="D25" s="479"/>
      <c r="E25" s="465">
        <f>'اختيار المقررات'!N28</f>
        <v>0</v>
      </c>
      <c r="F25" s="465"/>
      <c r="G25" s="466"/>
      <c r="H25" s="467" t="s">
        <v>20</v>
      </c>
      <c r="I25" s="468"/>
      <c r="J25" s="416" t="str">
        <f>'اختيار المقررات'!V28</f>
        <v>لا</v>
      </c>
      <c r="K25" s="416"/>
      <c r="L25" s="490"/>
      <c r="M25" s="451"/>
      <c r="N25" s="451"/>
      <c r="O25" s="451"/>
      <c r="P25" s="451"/>
      <c r="Q25" s="451"/>
      <c r="R25" s="451"/>
    </row>
    <row r="26" spans="2:35" ht="15.6" customHeight="1" x14ac:dyDescent="0.25">
      <c r="B26" s="499" t="s">
        <v>23</v>
      </c>
      <c r="C26" s="500"/>
      <c r="D26" s="500"/>
      <c r="E26" s="491">
        <f>IF(AJ1&gt;0,"",'اختيار المقررات'!N29)</f>
        <v>12000</v>
      </c>
      <c r="F26" s="491"/>
      <c r="G26" s="491"/>
      <c r="H26" s="491"/>
      <c r="I26" s="491"/>
      <c r="J26" s="491"/>
      <c r="K26" s="491"/>
      <c r="L26" s="492"/>
      <c r="M26" s="451"/>
      <c r="N26" s="451"/>
      <c r="O26" s="451"/>
      <c r="P26" s="451"/>
      <c r="Q26" s="451"/>
      <c r="R26" s="451"/>
    </row>
    <row r="27" spans="2:35" ht="15.6" customHeight="1" x14ac:dyDescent="0.25">
      <c r="B27" s="469" t="str">
        <f>'اختيار المقررات'!C25</f>
        <v>منقطع عن التسجيل في</v>
      </c>
      <c r="C27" s="470"/>
      <c r="D27" s="470"/>
      <c r="E27" s="470"/>
      <c r="F27" s="470"/>
      <c r="G27" s="470"/>
      <c r="H27" s="470"/>
      <c r="I27" s="470"/>
      <c r="J27" s="470"/>
      <c r="K27" s="470"/>
      <c r="L27" s="471"/>
      <c r="M27" s="451"/>
      <c r="N27" s="451"/>
      <c r="O27" s="451"/>
      <c r="P27" s="451"/>
      <c r="Q27" s="451"/>
      <c r="R27" s="451"/>
    </row>
    <row r="28" spans="2:35" ht="15.6" customHeight="1" x14ac:dyDescent="0.25">
      <c r="B28" s="472" t="str">
        <f>'اختيار المقررات'!C26</f>
        <v/>
      </c>
      <c r="C28" s="473"/>
      <c r="D28" s="473"/>
      <c r="E28" s="473"/>
      <c r="F28" s="473"/>
      <c r="G28" s="473" t="str">
        <f>'اختيار المقررات'!C27</f>
        <v/>
      </c>
      <c r="H28" s="473"/>
      <c r="I28" s="473"/>
      <c r="J28" s="473"/>
      <c r="K28" s="473"/>
      <c r="L28" s="474"/>
      <c r="M28" s="451"/>
      <c r="N28" s="451"/>
      <c r="O28" s="451"/>
      <c r="P28" s="451"/>
      <c r="Q28" s="451"/>
      <c r="R28" s="451"/>
      <c r="V28" s="131" t="str">
        <f>IFERROR(SMALL('اختيار المقررات'!$U$10:$U$30,'اختيار المقررات'!V39),"")</f>
        <v/>
      </c>
    </row>
    <row r="29" spans="2:35" ht="15.6" customHeight="1" x14ac:dyDescent="0.25">
      <c r="B29" s="472" t="str">
        <f>'اختيار المقررات'!C28</f>
        <v/>
      </c>
      <c r="C29" s="473"/>
      <c r="D29" s="473"/>
      <c r="E29" s="473"/>
      <c r="F29" s="473"/>
      <c r="G29" s="473" t="str">
        <f>'اختيار المقررات'!C29</f>
        <v/>
      </c>
      <c r="H29" s="473"/>
      <c r="I29" s="473"/>
      <c r="J29" s="473"/>
      <c r="K29" s="473"/>
      <c r="L29" s="474"/>
      <c r="M29" s="451"/>
      <c r="N29" s="451"/>
      <c r="O29" s="451"/>
      <c r="P29" s="451"/>
      <c r="Q29" s="451"/>
      <c r="R29" s="451"/>
      <c r="V29" s="131" t="str">
        <f>IFERROR(SMALL('اختيار المقررات'!$U$10:$U$30,'اختيار المقررات'!V41),"")</f>
        <v/>
      </c>
    </row>
    <row r="30" spans="2:35" ht="15.6" customHeight="1" x14ac:dyDescent="0.25">
      <c r="B30" s="482" t="str">
        <f>'اختيار المقررات'!C30</f>
        <v/>
      </c>
      <c r="C30" s="475"/>
      <c r="D30" s="475"/>
      <c r="E30" s="475"/>
      <c r="F30" s="475"/>
      <c r="G30" s="475" t="str">
        <f>'اختيار المقررات'!C31</f>
        <v/>
      </c>
      <c r="H30" s="475"/>
      <c r="I30" s="475"/>
      <c r="J30" s="475"/>
      <c r="K30" s="475"/>
      <c r="L30" s="476"/>
      <c r="M30" s="451"/>
      <c r="N30" s="451"/>
      <c r="O30" s="451"/>
      <c r="P30" s="451"/>
      <c r="Q30" s="451"/>
      <c r="R30" s="451"/>
      <c r="V30" s="131" t="str">
        <f>IFERROR(SMALL('اختيار المقررات'!$U$10:$U$30,'اختيار المقررات'!V42),"")</f>
        <v/>
      </c>
    </row>
    <row r="31" spans="2:35" ht="15.6" customHeight="1" x14ac:dyDescent="0.25">
      <c r="B31" s="496" t="s">
        <v>149</v>
      </c>
      <c r="C31" s="497"/>
      <c r="D31" s="497"/>
      <c r="E31" s="497"/>
      <c r="F31" s="497"/>
      <c r="G31" s="497"/>
      <c r="H31" s="497"/>
      <c r="I31" s="497"/>
      <c r="J31" s="497"/>
      <c r="K31" s="497"/>
      <c r="L31" s="497"/>
      <c r="M31" s="497"/>
      <c r="N31" s="497"/>
      <c r="O31" s="497"/>
      <c r="P31" s="497"/>
      <c r="Q31" s="497"/>
      <c r="R31" s="498"/>
      <c r="V31" s="131" t="str">
        <f>IFERROR(SMALL('اختيار المقررات'!$U$10:$U$30,'اختيار المقررات'!V30),"")</f>
        <v/>
      </c>
    </row>
    <row r="32" spans="2:35" ht="15.6" customHeight="1" x14ac:dyDescent="0.25">
      <c r="B32" s="458" t="s">
        <v>30</v>
      </c>
      <c r="C32" s="458"/>
      <c r="D32" s="458"/>
      <c r="E32" s="458"/>
      <c r="F32" s="458"/>
      <c r="G32" s="458"/>
      <c r="H32" s="458"/>
      <c r="I32" s="458"/>
      <c r="J32" s="458"/>
      <c r="K32" s="458"/>
      <c r="L32" s="458"/>
      <c r="M32" s="458"/>
      <c r="N32" s="458"/>
      <c r="O32" s="458"/>
      <c r="P32" s="458"/>
      <c r="Q32" s="458"/>
      <c r="R32" s="458"/>
    </row>
    <row r="33" spans="2:18" ht="15.6" customHeight="1" x14ac:dyDescent="0.25">
      <c r="B33" s="483" t="s">
        <v>31</v>
      </c>
      <c r="C33" s="483"/>
      <c r="D33" s="483"/>
      <c r="E33" s="483"/>
      <c r="F33" s="484">
        <f>IF(AJ1=0,E26,"لم يتم التسجيل")</f>
        <v>12000</v>
      </c>
      <c r="G33" s="485"/>
      <c r="H33" s="493" t="str">
        <f>IF(D4="أنثى","ليرة سورية فقط لا غير من الطالبة","ليرة سورية فقط لا غير من الطالب")&amp;" "&amp;H2</f>
        <v>ليرة سورية فقط لا غير من الطالب 0</v>
      </c>
      <c r="I33" s="493"/>
      <c r="J33" s="493"/>
      <c r="K33" s="493"/>
      <c r="L33" s="493"/>
      <c r="M33" s="493"/>
      <c r="N33" s="493"/>
      <c r="O33" s="493"/>
      <c r="P33" s="493"/>
      <c r="Q33" s="493"/>
      <c r="R33" s="493"/>
    </row>
    <row r="34" spans="2:18" ht="15.6" customHeight="1" x14ac:dyDescent="0.25">
      <c r="B34" s="483" t="str">
        <f>IF(D4="أنثى","رقمها الامتحاني","رقمه الامتحاني")</f>
        <v>رقمه الامتحاني</v>
      </c>
      <c r="C34" s="483"/>
      <c r="D34" s="483"/>
      <c r="E34" s="485">
        <f>D2</f>
        <v>0</v>
      </c>
      <c r="F34" s="485"/>
      <c r="G34" s="483" t="s">
        <v>32</v>
      </c>
      <c r="H34" s="483"/>
      <c r="I34" s="483"/>
      <c r="J34" s="483"/>
      <c r="K34" s="483"/>
      <c r="L34" s="483"/>
      <c r="M34" s="483"/>
      <c r="N34" s="483"/>
      <c r="O34" s="483"/>
      <c r="P34" s="483"/>
      <c r="Q34" s="483"/>
      <c r="R34" s="483"/>
    </row>
    <row r="35" spans="2:18" ht="15.6" customHeight="1" x14ac:dyDescent="0.25">
      <c r="B35" s="164"/>
      <c r="C35" s="165"/>
      <c r="D35" s="494"/>
      <c r="E35" s="494"/>
      <c r="F35" s="494"/>
      <c r="G35" s="494"/>
      <c r="H35" s="494"/>
      <c r="I35" s="166"/>
      <c r="J35" s="166"/>
      <c r="K35" s="164"/>
      <c r="L35" s="165"/>
      <c r="M35" s="494"/>
      <c r="N35" s="494"/>
      <c r="O35" s="494"/>
      <c r="P35" s="494"/>
      <c r="Q35" s="166"/>
      <c r="R35" s="166"/>
    </row>
    <row r="36" spans="2:18" ht="24" customHeight="1" x14ac:dyDescent="0.25">
      <c r="B36" s="495" t="s">
        <v>26</v>
      </c>
      <c r="C36" s="495"/>
      <c r="D36" s="495"/>
      <c r="E36" s="495"/>
      <c r="F36" s="495"/>
      <c r="G36" s="495"/>
      <c r="H36" s="495"/>
      <c r="I36" s="495"/>
      <c r="J36" s="495"/>
      <c r="K36" s="495"/>
      <c r="L36" s="495"/>
      <c r="M36" s="495"/>
      <c r="N36" s="495"/>
      <c r="O36" s="495"/>
      <c r="P36" s="495"/>
      <c r="Q36" s="495"/>
      <c r="R36" s="495"/>
    </row>
    <row r="37" spans="2:18" ht="24" customHeight="1" x14ac:dyDescent="0.25">
      <c r="B37" s="458" t="s">
        <v>30</v>
      </c>
      <c r="C37" s="458"/>
      <c r="D37" s="458"/>
      <c r="E37" s="458"/>
      <c r="F37" s="458"/>
      <c r="G37" s="458"/>
      <c r="H37" s="458"/>
      <c r="I37" s="458"/>
      <c r="J37" s="458"/>
      <c r="K37" s="458"/>
      <c r="L37" s="458"/>
      <c r="M37" s="458"/>
      <c r="N37" s="458"/>
      <c r="O37" s="458"/>
      <c r="P37" s="458"/>
      <c r="Q37" s="458"/>
      <c r="R37" s="458"/>
    </row>
    <row r="38" spans="2:18" ht="24" customHeight="1" x14ac:dyDescent="0.25">
      <c r="B38" s="483" t="s">
        <v>31</v>
      </c>
      <c r="C38" s="483"/>
      <c r="D38" s="483"/>
      <c r="E38" s="483"/>
      <c r="F38" s="484">
        <f>IF(AJ1&lt;&gt;0,F33,'اختيار المقررات'!AC29)</f>
        <v>0</v>
      </c>
      <c r="G38" s="485"/>
      <c r="H38" s="486" t="str">
        <f>H33</f>
        <v>ليرة سورية فقط لا غير من الطالب 0</v>
      </c>
      <c r="I38" s="486"/>
      <c r="J38" s="486"/>
      <c r="K38" s="486"/>
      <c r="L38" s="486"/>
      <c r="M38" s="486"/>
      <c r="N38" s="486"/>
      <c r="O38" s="486"/>
      <c r="P38" s="486"/>
      <c r="Q38" s="486"/>
      <c r="R38" s="486"/>
    </row>
    <row r="39" spans="2:18" ht="24" customHeight="1" x14ac:dyDescent="0.3">
      <c r="B39" s="487" t="str">
        <f>B34</f>
        <v>رقمه الامتحاني</v>
      </c>
      <c r="C39" s="487"/>
      <c r="D39" s="487"/>
      <c r="E39" s="488">
        <f>E34</f>
        <v>0</v>
      </c>
      <c r="F39" s="488"/>
      <c r="G39" s="489" t="str">
        <f>G34</f>
        <v xml:space="preserve">وتحويله إلى حساب التعليم المفتوح رقم ck1-10173186 وتسليم إشعار القبض إلى صاحب العلاقة  </v>
      </c>
      <c r="H39" s="489"/>
      <c r="I39" s="489"/>
      <c r="J39" s="489"/>
      <c r="K39" s="489"/>
      <c r="L39" s="489"/>
      <c r="M39" s="489"/>
      <c r="N39" s="489"/>
      <c r="O39" s="489"/>
      <c r="P39" s="489"/>
      <c r="Q39" s="489"/>
      <c r="R39" s="489"/>
    </row>
    <row r="40" spans="2:18" ht="15.75" customHeight="1" x14ac:dyDescent="0.25"/>
    <row r="41" spans="2:18" ht="22.5" customHeight="1" x14ac:dyDescent="0.25"/>
    <row r="42" spans="2:18" ht="22.5" customHeight="1" x14ac:dyDescent="0.25">
      <c r="C42" s="153"/>
      <c r="D42" s="153"/>
      <c r="E42" s="153"/>
      <c r="F42" s="153"/>
      <c r="G42" s="153"/>
    </row>
    <row r="43" spans="2:18" ht="26.25" customHeight="1" x14ac:dyDescent="0.25">
      <c r="C43" s="153"/>
      <c r="D43" s="153"/>
      <c r="E43" s="153"/>
      <c r="F43" s="153"/>
      <c r="G43" s="153"/>
      <c r="H43" s="154"/>
      <c r="I43" s="154"/>
      <c r="J43" s="154"/>
      <c r="K43" s="154"/>
      <c r="L43" s="154"/>
      <c r="M43" s="154"/>
      <c r="N43" s="154"/>
      <c r="O43" s="154"/>
      <c r="P43" s="154"/>
      <c r="Q43" s="154"/>
      <c r="R43" s="154"/>
    </row>
    <row r="44" spans="2:18" x14ac:dyDescent="0.25">
      <c r="C44" s="153"/>
      <c r="D44" s="153"/>
      <c r="E44" s="153"/>
      <c r="F44" s="153"/>
      <c r="G44" s="153"/>
      <c r="H44" s="154"/>
      <c r="I44" s="154"/>
      <c r="J44" s="154"/>
      <c r="K44" s="154"/>
      <c r="L44" s="154"/>
      <c r="M44" s="154"/>
      <c r="N44" s="154"/>
      <c r="O44" s="154"/>
      <c r="P44" s="154"/>
      <c r="Q44" s="154"/>
      <c r="R44" s="154"/>
    </row>
  </sheetData>
  <sheetProtection algorithmName="SHA-512" hashValue="cjJy5cfnNyGuJovIpee7KNBqPQxpAfGDmqzmTIOMp7RW1OyGtBPj/QFvONSrk1g39JzggrLlfr5PNZ8No1VhBg==" saltValue="OdetpCD620jks8Ze9Yy2xQ==" spinCount="100000" sheet="1" selectLockedCells="1" selectUnlockedCells="1"/>
  <mergeCells count="132">
    <mergeCell ref="B33:E33"/>
    <mergeCell ref="B24:D24"/>
    <mergeCell ref="E24:G24"/>
    <mergeCell ref="B25:D25"/>
    <mergeCell ref="B38:E38"/>
    <mergeCell ref="F38:G38"/>
    <mergeCell ref="H38:R38"/>
    <mergeCell ref="B39:D39"/>
    <mergeCell ref="E39:F39"/>
    <mergeCell ref="G39:R39"/>
    <mergeCell ref="J25:L25"/>
    <mergeCell ref="E26:L26"/>
    <mergeCell ref="F33:G33"/>
    <mergeCell ref="H33:R33"/>
    <mergeCell ref="B34:D34"/>
    <mergeCell ref="E34:F34"/>
    <mergeCell ref="G34:R34"/>
    <mergeCell ref="D35:H35"/>
    <mergeCell ref="M35:P35"/>
    <mergeCell ref="B36:R36"/>
    <mergeCell ref="B37:R37"/>
    <mergeCell ref="B31:R31"/>
    <mergeCell ref="E25:G25"/>
    <mergeCell ref="B26:D26"/>
    <mergeCell ref="B32:R32"/>
    <mergeCell ref="AE17:AG17"/>
    <mergeCell ref="AE18:AG18"/>
    <mergeCell ref="AE19:AG19"/>
    <mergeCell ref="AE20:AG20"/>
    <mergeCell ref="AE21:AG21"/>
    <mergeCell ref="AE22:AG22"/>
    <mergeCell ref="H23:I23"/>
    <mergeCell ref="J23:L23"/>
    <mergeCell ref="M23:N30"/>
    <mergeCell ref="H24:I24"/>
    <mergeCell ref="J24:L24"/>
    <mergeCell ref="H25:I25"/>
    <mergeCell ref="B27:L27"/>
    <mergeCell ref="B28:F28"/>
    <mergeCell ref="G28:L28"/>
    <mergeCell ref="G29:L29"/>
    <mergeCell ref="G30:L30"/>
    <mergeCell ref="Q21:R21"/>
    <mergeCell ref="B23:D23"/>
    <mergeCell ref="E23:G23"/>
    <mergeCell ref="B29:F29"/>
    <mergeCell ref="B30:F30"/>
    <mergeCell ref="O23:P30"/>
    <mergeCell ref="Q23:R30"/>
    <mergeCell ref="AE8:AG8"/>
    <mergeCell ref="AE9:AG9"/>
    <mergeCell ref="AE10:AG10"/>
    <mergeCell ref="AE11:AG11"/>
    <mergeCell ref="AE12:AG12"/>
    <mergeCell ref="AE13:AG13"/>
    <mergeCell ref="AE14:AG14"/>
    <mergeCell ref="AE15:AG15"/>
    <mergeCell ref="AE16:AG16"/>
    <mergeCell ref="B19:R20"/>
    <mergeCell ref="D17:G17"/>
    <mergeCell ref="L17:O17"/>
    <mergeCell ref="D12:G12"/>
    <mergeCell ref="L12:O12"/>
    <mergeCell ref="D16:G16"/>
    <mergeCell ref="L16:O16"/>
    <mergeCell ref="D18:G18"/>
    <mergeCell ref="L18:O18"/>
    <mergeCell ref="B21:E21"/>
    <mergeCell ref="N22:O22"/>
    <mergeCell ref="G21:J21"/>
    <mergeCell ref="K21:L21"/>
    <mergeCell ref="M21:P21"/>
    <mergeCell ref="AE3:AG3"/>
    <mergeCell ref="AE4:AG4"/>
    <mergeCell ref="AE5:AG5"/>
    <mergeCell ref="AE6:AG6"/>
    <mergeCell ref="AE7:AG7"/>
    <mergeCell ref="D6:E6"/>
    <mergeCell ref="F6:G6"/>
    <mergeCell ref="H6:I6"/>
    <mergeCell ref="K6:M6"/>
    <mergeCell ref="D4:E4"/>
    <mergeCell ref="F4:G4"/>
    <mergeCell ref="H4:I4"/>
    <mergeCell ref="K4:M4"/>
    <mergeCell ref="D5:E5"/>
    <mergeCell ref="Q4:R4"/>
    <mergeCell ref="F7:G7"/>
    <mergeCell ref="H7:I7"/>
    <mergeCell ref="K7:R7"/>
    <mergeCell ref="P5:R5"/>
    <mergeCell ref="D7:E7"/>
    <mergeCell ref="B1:E1"/>
    <mergeCell ref="B2:C2"/>
    <mergeCell ref="D2:E2"/>
    <mergeCell ref="F2:G2"/>
    <mergeCell ref="H2:J2"/>
    <mergeCell ref="M2:N2"/>
    <mergeCell ref="B3:C3"/>
    <mergeCell ref="D3:E3"/>
    <mergeCell ref="N3:P3"/>
    <mergeCell ref="F1:R1"/>
    <mergeCell ref="P2:R2"/>
    <mergeCell ref="F3:G3"/>
    <mergeCell ref="H3:I3"/>
    <mergeCell ref="K2:L2"/>
    <mergeCell ref="Q3:R3"/>
    <mergeCell ref="J3:L3"/>
    <mergeCell ref="B4:C4"/>
    <mergeCell ref="N4:P4"/>
    <mergeCell ref="B22:D22"/>
    <mergeCell ref="E22:I22"/>
    <mergeCell ref="K22:L22"/>
    <mergeCell ref="P22:R22"/>
    <mergeCell ref="F5:G5"/>
    <mergeCell ref="H5:I5"/>
    <mergeCell ref="K5:M5"/>
    <mergeCell ref="D13:G13"/>
    <mergeCell ref="L13:O13"/>
    <mergeCell ref="D11:G11"/>
    <mergeCell ref="L11:O11"/>
    <mergeCell ref="D15:G15"/>
    <mergeCell ref="L15:O15"/>
    <mergeCell ref="D14:G14"/>
    <mergeCell ref="L14:O14"/>
    <mergeCell ref="N5:O5"/>
    <mergeCell ref="N6:O6"/>
    <mergeCell ref="B8:R10"/>
    <mergeCell ref="B5:C5"/>
    <mergeCell ref="P6:R6"/>
    <mergeCell ref="B7:C7"/>
    <mergeCell ref="B6:C6"/>
  </mergeCells>
  <conditionalFormatting sqref="B32:R32">
    <cfRule type="expression" dxfId="23" priority="2">
      <formula>$K$25="لا"</formula>
    </cfRule>
  </conditionalFormatting>
  <conditionalFormatting sqref="B35:R35">
    <cfRule type="expression" dxfId="22" priority="3">
      <formula>#REF!="لا"</formula>
    </cfRule>
  </conditionalFormatting>
  <conditionalFormatting sqref="B36:R37 B38:E38 H38 B39:R39">
    <cfRule type="expression" dxfId="21" priority="4">
      <formula>$K$25="لا"</formula>
    </cfRule>
  </conditionalFormatting>
  <conditionalFormatting sqref="B36:R37 B38:E38 H38:R38 B39:R39">
    <cfRule type="expression" dxfId="20" priority="1">
      <formula>$J$25="لا"</formula>
    </cfRule>
  </conditionalFormatting>
  <conditionalFormatting sqref="C13:I18">
    <cfRule type="expression" dxfId="19" priority="29">
      <formula>$C$13=""</formula>
    </cfRule>
  </conditionalFormatting>
  <conditionalFormatting sqref="C14:I18">
    <cfRule type="expression" dxfId="18" priority="28">
      <formula>$C$14=""</formula>
    </cfRule>
  </conditionalFormatting>
  <conditionalFormatting sqref="C15:I18">
    <cfRule type="expression" dxfId="17" priority="27">
      <formula>$C$15=""</formula>
    </cfRule>
  </conditionalFormatting>
  <conditionalFormatting sqref="C16:I18">
    <cfRule type="expression" dxfId="16" priority="26">
      <formula>$C$16=""</formula>
    </cfRule>
  </conditionalFormatting>
  <conditionalFormatting sqref="C17:I18">
    <cfRule type="expression" dxfId="15" priority="25">
      <formula>$C$17=""</formula>
    </cfRule>
  </conditionalFormatting>
  <conditionalFormatting sqref="C18:I18">
    <cfRule type="expression" dxfId="14" priority="24">
      <formula>$C$18=""</formula>
    </cfRule>
  </conditionalFormatting>
  <conditionalFormatting sqref="C11:Q18">
    <cfRule type="expression" dxfId="13" priority="30">
      <formula>$C$12=""</formula>
    </cfRule>
  </conditionalFormatting>
  <conditionalFormatting sqref="C43:R44">
    <cfRule type="expression" dxfId="12" priority="5">
      <formula>$K$26="لا"</formula>
    </cfRule>
  </conditionalFormatting>
  <conditionalFormatting sqref="K11:Q18">
    <cfRule type="expression" dxfId="11" priority="22">
      <formula>$K$12=""</formula>
    </cfRule>
  </conditionalFormatting>
  <conditionalFormatting sqref="K13:Q18">
    <cfRule type="expression" dxfId="10" priority="21">
      <formula>$K$13=""</formula>
    </cfRule>
  </conditionalFormatting>
  <conditionalFormatting sqref="K14:Q18">
    <cfRule type="expression" dxfId="9" priority="20">
      <formula>$K$14=""</formula>
    </cfRule>
  </conditionalFormatting>
  <conditionalFormatting sqref="K15:Q18">
    <cfRule type="expression" dxfId="8" priority="19">
      <formula>$K$15=""</formula>
    </cfRule>
  </conditionalFormatting>
  <conditionalFormatting sqref="K16:Q18">
    <cfRule type="expression" dxfId="7" priority="18">
      <formula>$K$16=""</formula>
    </cfRule>
  </conditionalFormatting>
  <conditionalFormatting sqref="K17:Q18">
    <cfRule type="expression" dxfId="6" priority="17">
      <formula>$K$17=""</formula>
    </cfRule>
  </conditionalFormatting>
  <conditionalFormatting sqref="K18:Q18">
    <cfRule type="expression" dxfId="5" priority="16">
      <formula>$K$18=""</formula>
    </cfRule>
  </conditionalFormatting>
  <conditionalFormatting sqref="AC1">
    <cfRule type="expression" dxfId="4" priority="7">
      <formula>AC1&lt;&gt;""</formula>
    </cfRule>
  </conditionalFormatting>
  <conditionalFormatting sqref="AD1:AH2">
    <cfRule type="expression" dxfId="3" priority="6">
      <formula>$AD$1&lt;&gt;""</formula>
    </cfRule>
  </conditionalFormatting>
  <conditionalFormatting sqref="AE3:AE22">
    <cfRule type="expression" dxfId="2" priority="8">
      <formula>AE3&lt;&gt;""</formula>
    </cfRule>
  </conditionalFormatting>
  <printOptions horizontalCentered="1" verticalCentered="1"/>
  <pageMargins left="0.19685039370078741" right="0.19685039370078741" top="0.19685039370078741" bottom="0.19685039370078741" header="0.11811023622047245" footer="0.11811023622047245"/>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ER103"/>
  <sheetViews>
    <sheetView showGridLines="0" rightToLeft="1" zoomScale="98" zoomScaleNormal="98" workbookViewId="0">
      <pane ySplit="4" topLeftCell="A5" activePane="bottomLeft" state="frozen"/>
      <selection pane="bottomLeft" activeCell="A5" sqref="A5:DX5"/>
    </sheetView>
  </sheetViews>
  <sheetFormatPr defaultColWidth="9" defaultRowHeight="13.8" x14ac:dyDescent="0.25"/>
  <cols>
    <col min="1" max="1" width="13.8984375" style="1" customWidth="1"/>
    <col min="2" max="2" width="10.8984375" style="1" bestFit="1" customWidth="1"/>
    <col min="3" max="4" width="9" style="1"/>
    <col min="5" max="5" width="10.09765625" style="1" bestFit="1" customWidth="1"/>
    <col min="6" max="6" width="11.3984375" style="211" bestFit="1" customWidth="1"/>
    <col min="7" max="7" width="11.3984375" style="211" customWidth="1"/>
    <col min="8" max="8" width="13.3984375" style="1" customWidth="1"/>
    <col min="9" max="9" width="10.3984375" style="1" bestFit="1" customWidth="1"/>
    <col min="10" max="10" width="11.69921875" style="1" bestFit="1" customWidth="1"/>
    <col min="11" max="11" width="21.8984375" style="1" customWidth="1"/>
    <col min="12" max="12" width="24.3984375" style="1" customWidth="1"/>
    <col min="13" max="13" width="17.69921875" style="1" customWidth="1"/>
    <col min="14" max="14" width="20.09765625" style="1" customWidth="1"/>
    <col min="15" max="15" width="31.69921875" style="1" customWidth="1"/>
    <col min="16" max="17" width="14.69921875" style="1" customWidth="1"/>
    <col min="18" max="18" width="19.09765625" style="1" customWidth="1"/>
    <col min="19" max="19" width="14.09765625" style="1" customWidth="1"/>
    <col min="20" max="20" width="6.8984375" style="1" bestFit="1" customWidth="1"/>
    <col min="21" max="48" width="4.3984375" style="1" customWidth="1"/>
    <col min="49" max="49" width="4" style="1" customWidth="1"/>
    <col min="50" max="58" width="4.3984375" style="1" customWidth="1"/>
    <col min="59" max="59" width="4.19921875" style="1" customWidth="1"/>
    <col min="60" max="99" width="4.3984375" style="1" customWidth="1"/>
    <col min="100" max="100" width="9.09765625" style="1" bestFit="1" customWidth="1"/>
    <col min="101" max="101" width="11.3984375" style="1" bestFit="1" customWidth="1"/>
    <col min="102" max="102" width="9.09765625" style="1" bestFit="1" customWidth="1"/>
    <col min="103" max="103" width="9.09765625" style="1" customWidth="1"/>
    <col min="104" max="105" width="9" style="1"/>
    <col min="106" max="106" width="10.09765625" style="1" bestFit="1" customWidth="1"/>
    <col min="107" max="107" width="10.09765625" style="1" customWidth="1"/>
    <col min="108" max="108" width="11.3984375" style="1" bestFit="1" customWidth="1"/>
    <col min="109" max="109" width="10.69921875" style="1" bestFit="1" customWidth="1"/>
    <col min="110" max="110" width="13.3984375" style="1" bestFit="1" customWidth="1"/>
    <col min="111" max="111" width="9.19921875" style="1" bestFit="1" customWidth="1"/>
    <col min="112" max="112" width="9.19921875" style="1" customWidth="1"/>
    <col min="113" max="113" width="6.3984375" style="1" bestFit="1" customWidth="1"/>
    <col min="114" max="117" width="9" style="1"/>
    <col min="118" max="118" width="12.3984375" style="1" bestFit="1" customWidth="1"/>
    <col min="119" max="119" width="13.3984375" style="1" bestFit="1" customWidth="1"/>
    <col min="120" max="16384" width="9" style="1"/>
  </cols>
  <sheetData>
    <row r="1" spans="1:148" s="180" customFormat="1" ht="18" thickBot="1" x14ac:dyDescent="0.3">
      <c r="A1" s="553"/>
      <c r="B1" s="555"/>
      <c r="C1" s="556" t="s">
        <v>33</v>
      </c>
      <c r="D1" s="556"/>
      <c r="E1" s="556"/>
      <c r="F1" s="556"/>
      <c r="G1" s="556"/>
      <c r="H1" s="556"/>
      <c r="I1" s="556"/>
      <c r="J1" s="556"/>
      <c r="K1" s="557" t="s">
        <v>16</v>
      </c>
      <c r="L1" s="559" t="s">
        <v>66</v>
      </c>
      <c r="M1" s="551" t="s">
        <v>64</v>
      </c>
      <c r="N1" s="551" t="s">
        <v>65</v>
      </c>
      <c r="O1" s="562" t="s">
        <v>55</v>
      </c>
      <c r="P1" s="556" t="s">
        <v>34</v>
      </c>
      <c r="Q1" s="556"/>
      <c r="R1" s="556"/>
      <c r="S1" s="564" t="s">
        <v>9</v>
      </c>
      <c r="T1" s="511" t="s">
        <v>35</v>
      </c>
      <c r="U1" s="512"/>
      <c r="V1" s="512"/>
      <c r="W1" s="512"/>
      <c r="X1" s="512"/>
      <c r="Y1" s="512"/>
      <c r="Z1" s="512"/>
      <c r="AA1" s="512"/>
      <c r="AB1" s="512"/>
      <c r="AC1" s="512"/>
      <c r="AD1" s="512"/>
      <c r="AE1" s="512"/>
      <c r="AF1" s="512"/>
      <c r="AG1" s="512"/>
      <c r="AH1" s="512"/>
      <c r="AI1" s="512"/>
      <c r="AJ1" s="512"/>
      <c r="AK1" s="512"/>
      <c r="AL1" s="512"/>
      <c r="AM1" s="513"/>
      <c r="AN1" s="511" t="s">
        <v>21</v>
      </c>
      <c r="AO1" s="512"/>
      <c r="AP1" s="512"/>
      <c r="AQ1" s="512"/>
      <c r="AR1" s="512"/>
      <c r="AS1" s="512"/>
      <c r="AT1" s="512"/>
      <c r="AU1" s="512"/>
      <c r="AV1" s="512"/>
      <c r="AW1" s="512"/>
      <c r="AX1" s="512"/>
      <c r="AY1" s="512"/>
      <c r="AZ1" s="512"/>
      <c r="BA1" s="512"/>
      <c r="BB1" s="512"/>
      <c r="BC1" s="512"/>
      <c r="BD1" s="512"/>
      <c r="BE1" s="512"/>
      <c r="BF1" s="512"/>
      <c r="BG1" s="513"/>
      <c r="BH1" s="511" t="s">
        <v>36</v>
      </c>
      <c r="BI1" s="512"/>
      <c r="BJ1" s="512"/>
      <c r="BK1" s="512"/>
      <c r="BL1" s="512"/>
      <c r="BM1" s="512"/>
      <c r="BN1" s="512"/>
      <c r="BO1" s="512"/>
      <c r="BP1" s="512"/>
      <c r="BQ1" s="512"/>
      <c r="BR1" s="512"/>
      <c r="BS1" s="512"/>
      <c r="BT1" s="512"/>
      <c r="BU1" s="512"/>
      <c r="BV1" s="512"/>
      <c r="BW1" s="512"/>
      <c r="BX1" s="512"/>
      <c r="BY1" s="512"/>
      <c r="BZ1" s="512"/>
      <c r="CA1" s="513"/>
      <c r="CB1" s="511" t="s">
        <v>37</v>
      </c>
      <c r="CC1" s="512"/>
      <c r="CD1" s="512"/>
      <c r="CE1" s="512"/>
      <c r="CF1" s="512"/>
      <c r="CG1" s="512"/>
      <c r="CH1" s="512"/>
      <c r="CI1" s="512"/>
      <c r="CJ1" s="512"/>
      <c r="CK1" s="512"/>
      <c r="CL1" s="512"/>
      <c r="CM1" s="512"/>
      <c r="CN1" s="512"/>
      <c r="CO1" s="512"/>
      <c r="CP1" s="512"/>
      <c r="CQ1" s="512"/>
      <c r="CR1" s="512"/>
      <c r="CS1" s="512"/>
      <c r="CT1" s="512"/>
      <c r="CU1" s="513"/>
      <c r="CV1" s="501" t="s">
        <v>1</v>
      </c>
      <c r="CW1" s="502"/>
      <c r="CX1" s="503"/>
      <c r="CY1" s="503"/>
      <c r="CZ1" s="507" t="s">
        <v>197</v>
      </c>
      <c r="DA1" s="508"/>
      <c r="DB1" s="508"/>
      <c r="DC1" s="508"/>
      <c r="DD1" s="508"/>
      <c r="DE1" s="508"/>
      <c r="DF1" s="508"/>
      <c r="DG1" s="508"/>
      <c r="DH1" s="507" t="s">
        <v>38</v>
      </c>
      <c r="DI1" s="508"/>
      <c r="DJ1" s="508"/>
      <c r="DK1" s="509"/>
      <c r="DL1" s="507" t="s">
        <v>198</v>
      </c>
      <c r="DM1" s="508"/>
      <c r="DN1" s="508"/>
      <c r="DO1" s="509"/>
      <c r="DP1" s="97"/>
      <c r="DQ1" s="97"/>
      <c r="DR1" s="97"/>
      <c r="DS1" s="97"/>
      <c r="DZ1" s="213"/>
      <c r="EA1" s="213"/>
      <c r="EB1" s="213"/>
      <c r="EC1" s="213"/>
      <c r="ED1" s="213"/>
      <c r="EE1" s="213"/>
      <c r="EF1" s="213"/>
      <c r="EG1" s="213"/>
      <c r="EH1" s="213"/>
      <c r="EI1" s="213"/>
      <c r="EJ1" s="213"/>
      <c r="EK1" s="213"/>
      <c r="EL1" s="213"/>
      <c r="EM1" s="213"/>
      <c r="EN1" s="213"/>
      <c r="EO1" s="213"/>
      <c r="EP1" s="213"/>
      <c r="EQ1" s="213"/>
      <c r="ER1" s="213"/>
    </row>
    <row r="2" spans="1:148" s="180" customFormat="1" ht="18" thickBot="1" x14ac:dyDescent="0.3">
      <c r="A2" s="554"/>
      <c r="B2" s="555"/>
      <c r="C2" s="556"/>
      <c r="D2" s="556"/>
      <c r="E2" s="556"/>
      <c r="F2" s="556"/>
      <c r="G2" s="556"/>
      <c r="H2" s="556"/>
      <c r="I2" s="556"/>
      <c r="J2" s="556"/>
      <c r="K2" s="558"/>
      <c r="L2" s="560"/>
      <c r="M2" s="552"/>
      <c r="N2" s="552"/>
      <c r="O2" s="563"/>
      <c r="P2" s="556"/>
      <c r="Q2" s="556"/>
      <c r="R2" s="556"/>
      <c r="S2" s="564"/>
      <c r="T2" s="546" t="s">
        <v>17</v>
      </c>
      <c r="U2" s="547"/>
      <c r="V2" s="547"/>
      <c r="W2" s="547"/>
      <c r="X2" s="547"/>
      <c r="Y2" s="547"/>
      <c r="Z2" s="547"/>
      <c r="AA2" s="547"/>
      <c r="AB2" s="547"/>
      <c r="AC2" s="548"/>
      <c r="AD2" s="547" t="s">
        <v>18</v>
      </c>
      <c r="AE2" s="547"/>
      <c r="AF2" s="547"/>
      <c r="AG2" s="547"/>
      <c r="AH2" s="547"/>
      <c r="AI2" s="547"/>
      <c r="AJ2" s="547"/>
      <c r="AK2" s="547"/>
      <c r="AL2" s="547"/>
      <c r="AM2" s="549"/>
      <c r="AN2" s="546" t="s">
        <v>17</v>
      </c>
      <c r="AO2" s="547"/>
      <c r="AP2" s="547"/>
      <c r="AQ2" s="547"/>
      <c r="AR2" s="547"/>
      <c r="AS2" s="547"/>
      <c r="AT2" s="547"/>
      <c r="AU2" s="547"/>
      <c r="AV2" s="547"/>
      <c r="AW2" s="548"/>
      <c r="AX2" s="547" t="s">
        <v>18</v>
      </c>
      <c r="AY2" s="547"/>
      <c r="AZ2" s="547"/>
      <c r="BA2" s="547"/>
      <c r="BB2" s="547"/>
      <c r="BC2" s="547"/>
      <c r="BD2" s="547"/>
      <c r="BE2" s="547"/>
      <c r="BF2" s="547"/>
      <c r="BG2" s="549"/>
      <c r="BH2" s="546" t="s">
        <v>17</v>
      </c>
      <c r="BI2" s="547"/>
      <c r="BJ2" s="547"/>
      <c r="BK2" s="547"/>
      <c r="BL2" s="547"/>
      <c r="BM2" s="547"/>
      <c r="BN2" s="547"/>
      <c r="BO2" s="547"/>
      <c r="BP2" s="547"/>
      <c r="BQ2" s="548"/>
      <c r="BR2" s="547" t="s">
        <v>18</v>
      </c>
      <c r="BS2" s="547"/>
      <c r="BT2" s="547"/>
      <c r="BU2" s="547"/>
      <c r="BV2" s="547"/>
      <c r="BW2" s="547"/>
      <c r="BX2" s="547"/>
      <c r="BY2" s="547"/>
      <c r="BZ2" s="547"/>
      <c r="CA2" s="549"/>
      <c r="CB2" s="546" t="s">
        <v>17</v>
      </c>
      <c r="CC2" s="547"/>
      <c r="CD2" s="547"/>
      <c r="CE2" s="547"/>
      <c r="CF2" s="547"/>
      <c r="CG2" s="547"/>
      <c r="CH2" s="547"/>
      <c r="CI2" s="547"/>
      <c r="CJ2" s="547"/>
      <c r="CK2" s="548"/>
      <c r="CL2" s="547" t="s">
        <v>18</v>
      </c>
      <c r="CM2" s="547"/>
      <c r="CN2" s="547"/>
      <c r="CO2" s="547"/>
      <c r="CP2" s="547"/>
      <c r="CQ2" s="547"/>
      <c r="CR2" s="547"/>
      <c r="CS2" s="547"/>
      <c r="CT2" s="547"/>
      <c r="CU2" s="549"/>
      <c r="CV2" s="504"/>
      <c r="CW2" s="505"/>
      <c r="CX2" s="506"/>
      <c r="CY2" s="506"/>
      <c r="CZ2" s="504"/>
      <c r="DA2" s="505"/>
      <c r="DB2" s="505"/>
      <c r="DC2" s="505"/>
      <c r="DD2" s="505"/>
      <c r="DE2" s="505"/>
      <c r="DF2" s="505"/>
      <c r="DG2" s="505"/>
      <c r="DH2" s="504"/>
      <c r="DI2" s="505"/>
      <c r="DJ2" s="505"/>
      <c r="DK2" s="506"/>
      <c r="DL2" s="504"/>
      <c r="DM2" s="505"/>
      <c r="DN2" s="505"/>
      <c r="DO2" s="506"/>
      <c r="DP2" s="97"/>
      <c r="DQ2" s="97"/>
      <c r="DR2" s="97"/>
      <c r="DS2" s="97"/>
      <c r="DZ2" s="213"/>
      <c r="EA2" s="213"/>
      <c r="EB2" s="213"/>
      <c r="EC2" s="213"/>
      <c r="ED2" s="213"/>
      <c r="EE2" s="213"/>
      <c r="EF2" s="213"/>
      <c r="EG2" s="213"/>
      <c r="EH2" s="213"/>
      <c r="EI2" s="213"/>
      <c r="EJ2" s="213"/>
      <c r="EK2" s="213"/>
      <c r="EL2" s="213"/>
      <c r="EM2" s="213"/>
      <c r="EN2" s="213"/>
      <c r="EO2" s="213"/>
      <c r="EP2" s="213"/>
      <c r="EQ2" s="213"/>
      <c r="ER2" s="213"/>
    </row>
    <row r="3" spans="1:148" ht="80.25" customHeight="1" thickBot="1" x14ac:dyDescent="0.3">
      <c r="A3" s="181" t="s">
        <v>2</v>
      </c>
      <c r="B3" s="182" t="s">
        <v>39</v>
      </c>
      <c r="C3" s="182" t="s">
        <v>40</v>
      </c>
      <c r="D3" s="182" t="s">
        <v>41</v>
      </c>
      <c r="E3" s="182" t="s">
        <v>6</v>
      </c>
      <c r="F3" s="183" t="s">
        <v>7</v>
      </c>
      <c r="G3" s="183" t="s">
        <v>87</v>
      </c>
      <c r="H3" s="182" t="s">
        <v>52</v>
      </c>
      <c r="I3" s="182" t="s">
        <v>11</v>
      </c>
      <c r="J3" s="182" t="s">
        <v>10</v>
      </c>
      <c r="K3" s="558"/>
      <c r="L3" s="560"/>
      <c r="M3" s="552"/>
      <c r="N3" s="552"/>
      <c r="O3" s="563"/>
      <c r="P3" s="566" t="s">
        <v>27</v>
      </c>
      <c r="Q3" s="566" t="s">
        <v>42</v>
      </c>
      <c r="R3" s="568" t="s">
        <v>14</v>
      </c>
      <c r="S3" s="564"/>
      <c r="T3" s="532" t="s">
        <v>243</v>
      </c>
      <c r="U3" s="515"/>
      <c r="V3" s="516" t="s">
        <v>204</v>
      </c>
      <c r="W3" s="515"/>
      <c r="X3" s="516" t="s">
        <v>205</v>
      </c>
      <c r="Y3" s="515"/>
      <c r="Z3" s="516" t="s">
        <v>206</v>
      </c>
      <c r="AA3" s="515"/>
      <c r="AB3" s="516" t="s">
        <v>244</v>
      </c>
      <c r="AC3" s="550"/>
      <c r="AD3" s="514" t="s">
        <v>208</v>
      </c>
      <c r="AE3" s="515"/>
      <c r="AF3" s="516" t="s">
        <v>209</v>
      </c>
      <c r="AG3" s="515"/>
      <c r="AH3" s="516" t="s">
        <v>210</v>
      </c>
      <c r="AI3" s="515"/>
      <c r="AJ3" s="516" t="s">
        <v>211</v>
      </c>
      <c r="AK3" s="515"/>
      <c r="AL3" s="516" t="s">
        <v>212</v>
      </c>
      <c r="AM3" s="517"/>
      <c r="AN3" s="532" t="s">
        <v>223</v>
      </c>
      <c r="AO3" s="515"/>
      <c r="AP3" s="516" t="s">
        <v>224</v>
      </c>
      <c r="AQ3" s="515"/>
      <c r="AR3" s="516" t="s">
        <v>225</v>
      </c>
      <c r="AS3" s="515"/>
      <c r="AT3" s="516" t="s">
        <v>226</v>
      </c>
      <c r="AU3" s="515"/>
      <c r="AV3" s="516" t="s">
        <v>227</v>
      </c>
      <c r="AW3" s="550"/>
      <c r="AX3" s="514" t="s">
        <v>228</v>
      </c>
      <c r="AY3" s="515"/>
      <c r="AZ3" s="516" t="s">
        <v>245</v>
      </c>
      <c r="BA3" s="515"/>
      <c r="BB3" s="516" t="s">
        <v>230</v>
      </c>
      <c r="BC3" s="515"/>
      <c r="BD3" s="516" t="s">
        <v>231</v>
      </c>
      <c r="BE3" s="515"/>
      <c r="BF3" s="516" t="s">
        <v>232</v>
      </c>
      <c r="BG3" s="517"/>
      <c r="BH3" s="532" t="s">
        <v>213</v>
      </c>
      <c r="BI3" s="515"/>
      <c r="BJ3" s="516" t="s">
        <v>214</v>
      </c>
      <c r="BK3" s="515"/>
      <c r="BL3" s="516" t="s">
        <v>215</v>
      </c>
      <c r="BM3" s="515"/>
      <c r="BN3" s="516" t="s">
        <v>216</v>
      </c>
      <c r="BO3" s="515"/>
      <c r="BP3" s="516" t="s">
        <v>217</v>
      </c>
      <c r="BQ3" s="550"/>
      <c r="BR3" s="514" t="s">
        <v>218</v>
      </c>
      <c r="BS3" s="515"/>
      <c r="BT3" s="516" t="s">
        <v>219</v>
      </c>
      <c r="BU3" s="515"/>
      <c r="BV3" s="516" t="s">
        <v>220</v>
      </c>
      <c r="BW3" s="515"/>
      <c r="BX3" s="516" t="s">
        <v>221</v>
      </c>
      <c r="BY3" s="515"/>
      <c r="BZ3" s="516" t="s">
        <v>222</v>
      </c>
      <c r="CA3" s="517"/>
      <c r="CB3" s="532" t="s">
        <v>233</v>
      </c>
      <c r="CC3" s="515"/>
      <c r="CD3" s="516" t="s">
        <v>234</v>
      </c>
      <c r="CE3" s="515"/>
      <c r="CF3" s="516" t="s">
        <v>235</v>
      </c>
      <c r="CG3" s="515"/>
      <c r="CH3" s="516" t="s">
        <v>236</v>
      </c>
      <c r="CI3" s="515"/>
      <c r="CJ3" s="516" t="s">
        <v>246</v>
      </c>
      <c r="CK3" s="550"/>
      <c r="CL3" s="514" t="s">
        <v>238</v>
      </c>
      <c r="CM3" s="515"/>
      <c r="CN3" s="516" t="s">
        <v>239</v>
      </c>
      <c r="CO3" s="515"/>
      <c r="CP3" s="516" t="s">
        <v>247</v>
      </c>
      <c r="CQ3" s="515"/>
      <c r="CR3" s="516" t="s">
        <v>241</v>
      </c>
      <c r="CS3" s="515"/>
      <c r="CT3" s="516" t="s">
        <v>242</v>
      </c>
      <c r="CU3" s="517"/>
      <c r="CV3" s="533" t="s">
        <v>43</v>
      </c>
      <c r="CW3" s="543" t="s">
        <v>0</v>
      </c>
      <c r="CX3" s="538" t="s">
        <v>44</v>
      </c>
      <c r="CY3" s="538" t="s">
        <v>71</v>
      </c>
      <c r="CZ3" s="540" t="s">
        <v>199</v>
      </c>
      <c r="DA3" s="541" t="s">
        <v>200</v>
      </c>
      <c r="DB3" s="542" t="s">
        <v>25</v>
      </c>
      <c r="DC3" s="542" t="s">
        <v>133</v>
      </c>
      <c r="DD3" s="542" t="s">
        <v>23</v>
      </c>
      <c r="DE3" s="542" t="s">
        <v>46</v>
      </c>
      <c r="DF3" s="510" t="s">
        <v>24</v>
      </c>
      <c r="DG3" s="510" t="s">
        <v>26</v>
      </c>
      <c r="DH3" s="530" t="s">
        <v>47</v>
      </c>
      <c r="DI3" s="520" t="s">
        <v>78</v>
      </c>
      <c r="DJ3" s="520" t="s">
        <v>79</v>
      </c>
      <c r="DK3" s="522" t="s">
        <v>48</v>
      </c>
      <c r="DL3" s="524" t="s">
        <v>86</v>
      </c>
      <c r="DM3" s="526" t="s">
        <v>85</v>
      </c>
      <c r="DN3" s="526" t="s">
        <v>84</v>
      </c>
      <c r="DO3" s="518" t="s">
        <v>83</v>
      </c>
      <c r="DP3" s="570" t="s">
        <v>141</v>
      </c>
      <c r="DQ3" s="571"/>
      <c r="DR3" s="571"/>
      <c r="DS3" s="571"/>
      <c r="DT3" s="571"/>
      <c r="DU3" s="571"/>
      <c r="DV3" s="212"/>
      <c r="DX3" s="572" t="s">
        <v>250</v>
      </c>
      <c r="DY3" s="184"/>
      <c r="DZ3" s="214"/>
      <c r="EA3" s="91"/>
      <c r="EB3" s="91"/>
      <c r="EC3" s="91"/>
      <c r="ED3" s="91"/>
      <c r="EE3" s="91"/>
      <c r="EF3" s="91"/>
      <c r="EG3" s="91"/>
      <c r="EH3" s="91"/>
      <c r="EI3" s="91"/>
      <c r="EJ3" s="91"/>
      <c r="EK3" s="91"/>
      <c r="EL3" s="91"/>
      <c r="EM3" s="91"/>
      <c r="EN3" s="91"/>
      <c r="EO3" s="91"/>
      <c r="EP3" s="91"/>
      <c r="EQ3" s="91"/>
      <c r="ER3" s="91"/>
    </row>
    <row r="4" spans="1:148" s="67" customFormat="1" ht="24.9" customHeight="1" thickBot="1" x14ac:dyDescent="0.3">
      <c r="A4" s="185" t="s">
        <v>2</v>
      </c>
      <c r="B4" s="186" t="s">
        <v>39</v>
      </c>
      <c r="C4" s="186" t="s">
        <v>40</v>
      </c>
      <c r="D4" s="186" t="s">
        <v>41</v>
      </c>
      <c r="E4" s="186" t="s">
        <v>6</v>
      </c>
      <c r="F4" s="187" t="s">
        <v>7</v>
      </c>
      <c r="G4" s="187"/>
      <c r="H4" s="186"/>
      <c r="I4" s="186" t="s">
        <v>11</v>
      </c>
      <c r="J4" s="186" t="s">
        <v>10</v>
      </c>
      <c r="K4" s="558"/>
      <c r="L4" s="561"/>
      <c r="M4" s="552"/>
      <c r="N4" s="552"/>
      <c r="O4" s="563"/>
      <c r="P4" s="567"/>
      <c r="Q4" s="567"/>
      <c r="R4" s="569"/>
      <c r="S4" s="565"/>
      <c r="T4" s="545">
        <v>100</v>
      </c>
      <c r="U4" s="535"/>
      <c r="V4" s="528">
        <v>110</v>
      </c>
      <c r="W4" s="535"/>
      <c r="X4" s="528">
        <v>120</v>
      </c>
      <c r="Y4" s="535"/>
      <c r="Z4" s="528">
        <v>130</v>
      </c>
      <c r="AA4" s="535"/>
      <c r="AB4" s="528">
        <v>140</v>
      </c>
      <c r="AC4" s="536"/>
      <c r="AD4" s="537">
        <v>150</v>
      </c>
      <c r="AE4" s="535"/>
      <c r="AF4" s="528">
        <v>160</v>
      </c>
      <c r="AG4" s="535"/>
      <c r="AH4" s="528">
        <v>170</v>
      </c>
      <c r="AI4" s="535"/>
      <c r="AJ4" s="528">
        <v>180</v>
      </c>
      <c r="AK4" s="535"/>
      <c r="AL4" s="528">
        <v>190</v>
      </c>
      <c r="AM4" s="529"/>
      <c r="AN4" s="545">
        <v>200</v>
      </c>
      <c r="AO4" s="535"/>
      <c r="AP4" s="528">
        <v>210</v>
      </c>
      <c r="AQ4" s="535"/>
      <c r="AR4" s="528">
        <v>220</v>
      </c>
      <c r="AS4" s="535"/>
      <c r="AT4" s="528">
        <v>230</v>
      </c>
      <c r="AU4" s="535"/>
      <c r="AV4" s="528">
        <v>240</v>
      </c>
      <c r="AW4" s="536"/>
      <c r="AX4" s="537">
        <v>250</v>
      </c>
      <c r="AY4" s="535"/>
      <c r="AZ4" s="528">
        <v>260</v>
      </c>
      <c r="BA4" s="535"/>
      <c r="BB4" s="528">
        <v>270</v>
      </c>
      <c r="BC4" s="535"/>
      <c r="BD4" s="528">
        <v>280</v>
      </c>
      <c r="BE4" s="535"/>
      <c r="BF4" s="528">
        <v>290</v>
      </c>
      <c r="BG4" s="529"/>
      <c r="BH4" s="545">
        <v>300</v>
      </c>
      <c r="BI4" s="535"/>
      <c r="BJ4" s="528">
        <v>310</v>
      </c>
      <c r="BK4" s="535"/>
      <c r="BL4" s="528">
        <v>320</v>
      </c>
      <c r="BM4" s="535"/>
      <c r="BN4" s="528">
        <v>330</v>
      </c>
      <c r="BO4" s="535"/>
      <c r="BP4" s="528">
        <v>340</v>
      </c>
      <c r="BQ4" s="536"/>
      <c r="BR4" s="537">
        <v>350</v>
      </c>
      <c r="BS4" s="535"/>
      <c r="BT4" s="528">
        <v>360</v>
      </c>
      <c r="BU4" s="535"/>
      <c r="BV4" s="528">
        <v>370</v>
      </c>
      <c r="BW4" s="535"/>
      <c r="BX4" s="528">
        <v>380</v>
      </c>
      <c r="BY4" s="535"/>
      <c r="BZ4" s="528">
        <v>390</v>
      </c>
      <c r="CA4" s="529"/>
      <c r="CB4" s="545">
        <v>400</v>
      </c>
      <c r="CC4" s="535"/>
      <c r="CD4" s="528">
        <v>410</v>
      </c>
      <c r="CE4" s="535"/>
      <c r="CF4" s="528">
        <v>420</v>
      </c>
      <c r="CG4" s="535"/>
      <c r="CH4" s="528">
        <v>430</v>
      </c>
      <c r="CI4" s="535"/>
      <c r="CJ4" s="528">
        <v>440</v>
      </c>
      <c r="CK4" s="536"/>
      <c r="CL4" s="537">
        <v>450</v>
      </c>
      <c r="CM4" s="535"/>
      <c r="CN4" s="528">
        <v>460</v>
      </c>
      <c r="CO4" s="535"/>
      <c r="CP4" s="528">
        <v>470</v>
      </c>
      <c r="CQ4" s="535"/>
      <c r="CR4" s="528">
        <v>480</v>
      </c>
      <c r="CS4" s="535"/>
      <c r="CT4" s="528">
        <v>490</v>
      </c>
      <c r="CU4" s="529"/>
      <c r="CV4" s="534"/>
      <c r="CW4" s="544"/>
      <c r="CX4" s="539"/>
      <c r="CY4" s="539"/>
      <c r="CZ4" s="540"/>
      <c r="DA4" s="541"/>
      <c r="DB4" s="542"/>
      <c r="DC4" s="542"/>
      <c r="DD4" s="542"/>
      <c r="DE4" s="542"/>
      <c r="DF4" s="510"/>
      <c r="DG4" s="510"/>
      <c r="DH4" s="531"/>
      <c r="DI4" s="521"/>
      <c r="DJ4" s="521"/>
      <c r="DK4" s="523"/>
      <c r="DL4" s="525"/>
      <c r="DM4" s="527"/>
      <c r="DN4" s="527"/>
      <c r="DO4" s="519"/>
      <c r="DP4" s="570"/>
      <c r="DQ4" s="571"/>
      <c r="DR4" s="571"/>
      <c r="DS4" s="571"/>
      <c r="DT4" s="571"/>
      <c r="DU4" s="571"/>
      <c r="DV4" s="212"/>
      <c r="DX4" s="572"/>
      <c r="DZ4" s="66"/>
      <c r="EA4" s="66"/>
      <c r="EB4" s="66"/>
      <c r="EC4" s="66"/>
      <c r="ED4" s="66"/>
      <c r="EE4" s="66"/>
      <c r="EF4" s="66"/>
      <c r="EG4" s="66"/>
      <c r="EH4" s="66"/>
      <c r="EI4" s="66"/>
      <c r="EJ4" s="66"/>
      <c r="EK4" s="66"/>
      <c r="EL4" s="66"/>
      <c r="EM4" s="66"/>
      <c r="EN4" s="66"/>
      <c r="EO4" s="66"/>
      <c r="EP4" s="66"/>
      <c r="EQ4" s="66"/>
      <c r="ER4" s="66"/>
    </row>
    <row r="5" spans="1:148" s="91" customFormat="1" ht="24.9" customHeight="1" x14ac:dyDescent="0.65">
      <c r="A5" s="188">
        <f>'اختيار المقررات'!E1</f>
        <v>0</v>
      </c>
      <c r="B5" s="188">
        <f>'اختيار المقررات'!L1</f>
        <v>0</v>
      </c>
      <c r="C5" s="188">
        <f>'اختيار المقررات'!Q1</f>
        <v>0</v>
      </c>
      <c r="D5" s="188">
        <f>'اختيار المقررات'!W1</f>
        <v>0</v>
      </c>
      <c r="E5" s="188">
        <f>'اختيار المقررات'!AE1</f>
        <v>0</v>
      </c>
      <c r="F5" s="189">
        <f>'اختيار المقررات'!AB1</f>
        <v>0</v>
      </c>
      <c r="G5" s="188">
        <f>'اختيار المقررات'!AB3</f>
        <v>0</v>
      </c>
      <c r="H5" s="190">
        <f>'اختيار المقررات'!Q3</f>
        <v>0</v>
      </c>
      <c r="I5" s="188">
        <f>'اختيار المقررات'!E3</f>
        <v>0</v>
      </c>
      <c r="J5" s="191">
        <f>'اختيار المقررات'!L3</f>
        <v>0</v>
      </c>
      <c r="K5" s="192" t="str">
        <f>'اختيار المقررات'!W3</f>
        <v>غير سوري</v>
      </c>
      <c r="L5" s="192">
        <f>'اختيار المقررات'!AE3</f>
        <v>0</v>
      </c>
      <c r="M5" s="192">
        <f>'اختيار المقررات'!W4</f>
        <v>0</v>
      </c>
      <c r="N5" s="192">
        <f>'اختيار المقررات'!AB4</f>
        <v>0</v>
      </c>
      <c r="O5" s="191">
        <f>'اختيار المقررات'!AE4</f>
        <v>0</v>
      </c>
      <c r="P5" s="193">
        <f>'اختيار المقررات'!E4</f>
        <v>0</v>
      </c>
      <c r="Q5" s="188">
        <f>'اختيار المقررات'!L4</f>
        <v>0</v>
      </c>
      <c r="R5" s="191">
        <f>'اختيار المقررات'!Q4</f>
        <v>0</v>
      </c>
      <c r="S5" s="194">
        <f>'اختيار المقررات'!E2</f>
        <v>0</v>
      </c>
      <c r="T5" s="195" t="str">
        <f>IFERROR(IF(OR(T4=الإستمارة!$C$12,T4=الإستمارة!$C$13,T4=الإستمارة!$C$14,T4=الإستمارة!$C$15,T4=الإستمارة!$C$16,T4=الإستمارة!$C$17,T4=الإستمارة!$C$18),VLOOKUP(T4,الإستمارة!$C$12:$H$19,6,0),VLOOKUP(T4,الإستمارة!$K$12:$P$19,6,0)),"")</f>
        <v/>
      </c>
      <c r="U5" s="196">
        <f>'اختيار المقررات'!I8</f>
        <v>0</v>
      </c>
      <c r="V5" s="195" t="str">
        <f>IFERROR(IF(OR(V4=الإستمارة!$C$12,V4=الإستمارة!$C$13,V4=الإستمارة!$C$14,V4=الإستمارة!$C$15,V4=الإستمارة!$C$16,V4=الإستمارة!$C$17,V4=الإستمارة!$C$18),VLOOKUP(V4,الإستمارة!$C$12:$H$19,6,0),VLOOKUP(V4,الإستمارة!$K$12:$P$19,6,0)),"")</f>
        <v/>
      </c>
      <c r="W5" s="196">
        <f>'اختيار المقررات'!I9</f>
        <v>0</v>
      </c>
      <c r="X5" s="195" t="str">
        <f>IFERROR(IF(OR(X4=الإستمارة!$C$12,X4=الإستمارة!$C$13,X4=الإستمارة!$C$14,X4=الإستمارة!$C$15,X4=الإستمارة!$C$16,X4=الإستمارة!$C$17,X4=الإستمارة!$C$18),VLOOKUP(X4,الإستمارة!$C$12:$H$19,6,0),VLOOKUP(X4,الإستمارة!$K$12:$P$19,6,0)),"")</f>
        <v/>
      </c>
      <c r="Y5" s="196">
        <f>'اختيار المقررات'!I10</f>
        <v>0</v>
      </c>
      <c r="Z5" s="195" t="str">
        <f>IFERROR(IF(OR(Z4=الإستمارة!$C$12,Z4=الإستمارة!$C$13,Z4=الإستمارة!$C$14,Z4=الإستمارة!$C$15,Z4=الإستمارة!$C$16,Z4=الإستمارة!$C$17,Z4=الإستمارة!$C$18),VLOOKUP(Z4,الإستمارة!$C$12:$H$19,6,0),VLOOKUP(Z4,الإستمارة!$K$12:$P$19,6,0)),"")</f>
        <v/>
      </c>
      <c r="AA5" s="196">
        <f>'اختيار المقررات'!I11</f>
        <v>0</v>
      </c>
      <c r="AB5" s="195" t="str">
        <f>IFERROR(IF(OR(AB4=الإستمارة!$C$12,AB4=الإستمارة!$C$13,AB4=الإستمارة!$C$14,AB4=الإستمارة!$C$15,AB4=الإستمارة!$C$16,AB4=الإستمارة!$C$17,AB4=الإستمارة!$C$18),VLOOKUP(AB4,الإستمارة!$C$12:$H$19,6,0),VLOOKUP(AB4,الإستمارة!$K$12:$P$19,6,0)),"")</f>
        <v/>
      </c>
      <c r="AC5" s="196">
        <f>'اختيار المقررات'!I12</f>
        <v>0</v>
      </c>
      <c r="AD5" s="197" t="str">
        <f>IFERROR(IF(OR(AD4=الإستمارة!$C$12,AD4=الإستمارة!$C$13,AD4=الإستمارة!$C$14,AD4=الإستمارة!$C$15,AD4=الإستمارة!$C$16,AD4=الإستمارة!$C$17,AD4=الإستمارة!$C$18),VLOOKUP(AD4,الإستمارة!$C$12:$H$19,6,0),VLOOKUP(AD4,الإستمارة!$K$12:$P$19,6,0)),"")</f>
        <v/>
      </c>
      <c r="AE5" s="198">
        <f>'اختيار المقررات'!Q8</f>
        <v>0</v>
      </c>
      <c r="AF5" s="199" t="str">
        <f>IFERROR(IF(OR(AF4=الإستمارة!$C$12,AF4=الإستمارة!$C$13,AF4=الإستمارة!$C$14,AF4=الإستمارة!$C$15,AF4=الإستمارة!$C$16,AF4=الإستمارة!$C$17,AF4=الإستمارة!$C$18),VLOOKUP(AF4,الإستمارة!$C$12:$H$19,6,0),VLOOKUP(AF4,الإستمارة!$K$12:$P$19,6,0)),"")</f>
        <v/>
      </c>
      <c r="AG5" s="196">
        <f>'اختيار المقررات'!Q9</f>
        <v>0</v>
      </c>
      <c r="AH5" s="197" t="str">
        <f>IFERROR(IF(OR(AH4=الإستمارة!$C$12,AH4=الإستمارة!$C$13,AH4=الإستمارة!$C$14,AH4=الإستمارة!$C$15,AH4=الإستمارة!$C$16,AH4=الإستمارة!$C$17,AH4=الإستمارة!$C$18),VLOOKUP(AH4,الإستمارة!$C$12:$H$19,6,0),VLOOKUP(AH4,الإستمارة!$K$12:$P$19,6,0)),"")</f>
        <v/>
      </c>
      <c r="AI5" s="196">
        <f>'اختيار المقررات'!Q10</f>
        <v>0</v>
      </c>
      <c r="AJ5" s="197" t="str">
        <f>IFERROR(IF(OR(AJ4=الإستمارة!$C$12,AJ4=الإستمارة!$C$13,AJ4=الإستمارة!$C$14,AJ4=الإستمارة!$C$15,AJ4=الإستمارة!$C$16,AJ4=الإستمارة!$C$17,AJ4=الإستمارة!$C$18),VLOOKUP(AJ4,الإستمارة!$C$12:$H$19,6,0),VLOOKUP(AJ4,الإستمارة!$K$12:$P$19,6,0)),"")</f>
        <v/>
      </c>
      <c r="AK5" s="196">
        <f>'اختيار المقررات'!Q11</f>
        <v>0</v>
      </c>
      <c r="AL5" s="197" t="str">
        <f>IFERROR(IF(OR(AL4=الإستمارة!$C$12,AL4=الإستمارة!$C$13,AL4=الإستمارة!$C$14,AL4=الإستمارة!$C$15,AL4=الإستمارة!$C$16,AL4=الإستمارة!$C$17,AL4=الإستمارة!$C$18),VLOOKUP(AL4,الإستمارة!$C$12:$H$19,6,0),VLOOKUP(AL4,الإستمارة!$K$12:$P$19,6,0)),"")</f>
        <v/>
      </c>
      <c r="AM5" s="196">
        <f>'اختيار المقررات'!Q12</f>
        <v>0</v>
      </c>
      <c r="AN5" s="197" t="str">
        <f>IFERROR(IF(OR(AN4=الإستمارة!$C$12,AN4=الإستمارة!$C$13,AN4=الإستمارة!$C$14,AN4=الإستمارة!$C$15,AN4=الإستمارة!$C$16,AN4=الإستمارة!$C$17,AN4=الإستمارة!$C$18),VLOOKUP(AN4,الإستمارة!$C$12:$H$19,6,0),VLOOKUP(AN4,الإستمارة!$K$12:$P$19,6,0)),"")</f>
        <v/>
      </c>
      <c r="AO5" s="196">
        <f>'اختيار المقررات'!I15</f>
        <v>0</v>
      </c>
      <c r="AP5" s="197" t="str">
        <f>IFERROR(IF(OR(AP4=الإستمارة!$C$12,AP4=الإستمارة!$C$13,AP4=الإستمارة!$C$14,AP4=الإستمارة!$C$15,AP4=الإستمارة!$C$16,AP4=الإستمارة!$C$17,AP4=الإستمارة!$C$18),VLOOKUP(AP4,الإستمارة!$C$12:$H$19,6,0),VLOOKUP(AP4,الإستمارة!$K$12:$P$19,6,0)),"")</f>
        <v/>
      </c>
      <c r="AQ5" s="200">
        <f>'اختيار المقررات'!I16</f>
        <v>0</v>
      </c>
      <c r="AR5" s="195" t="str">
        <f>IFERROR(IF(OR(AR4=الإستمارة!$C$12,AR4=الإستمارة!$C$13,AR4=الإستمارة!$C$14,AR4=الإستمارة!$C$15,AR4=الإستمارة!$C$16,AR4=الإستمارة!$C$17,AR4=الإستمارة!$C$18),VLOOKUP(AR4,الإستمارة!$C$12:$H$19,6,0),VLOOKUP(AR4,الإستمارة!$K$12:$P$19,6,0)),"")</f>
        <v/>
      </c>
      <c r="AS5" s="196">
        <f>'اختيار المقررات'!I17</f>
        <v>0</v>
      </c>
      <c r="AT5" s="197" t="str">
        <f>IFERROR(IF(OR(AT4=الإستمارة!$C$12,AT4=الإستمارة!$C$13,AT4=الإستمارة!$C$14,AT4=الإستمارة!$C$15,AT4=الإستمارة!$C$16,AT4=الإستمارة!$C$17,AT4=الإستمارة!$C$18),VLOOKUP(AT4,الإستمارة!$C$12:$H$19,6,0),VLOOKUP(AT4,الإستمارة!$K$12:$P$19,6,0)),"")</f>
        <v/>
      </c>
      <c r="AU5" s="196">
        <f>'اختيار المقررات'!I18</f>
        <v>0</v>
      </c>
      <c r="AV5" s="197" t="str">
        <f>IFERROR(IF(OR(AV4=الإستمارة!$C$12,AV4=الإستمارة!$C$13,AV4=الإستمارة!$C$14,AV4=الإستمارة!$C$15,AV4=الإستمارة!$C$16,AV4=الإستمارة!$C$17,AV4=الإستمارة!$C$18),VLOOKUP(AV4,الإستمارة!$C$12:$H$19,6,0),VLOOKUP(AV4,الإستمارة!$K$12:$P$19,6,0)),"")</f>
        <v/>
      </c>
      <c r="AW5" s="196">
        <f>'اختيار المقررات'!I19</f>
        <v>0</v>
      </c>
      <c r="AX5" s="197" t="str">
        <f>IFERROR(IF(OR(AX4=الإستمارة!$C$12,AX4=الإستمارة!$C$13,AX4=الإستمارة!$C$14,AX4=الإستمارة!$C$15,AX4=الإستمارة!$C$16,AX4=الإستمارة!$C$17,AX4=الإستمارة!$C$18),VLOOKUP(AX4,الإستمارة!$C$12:$H$19,6,0),VLOOKUP(AX4,الإستمارة!$K$12:$P$19,6,0)),"")</f>
        <v/>
      </c>
      <c r="AY5" s="196">
        <f>'اختيار المقررات'!Q15</f>
        <v>0</v>
      </c>
      <c r="AZ5" s="197" t="str">
        <f>IFERROR(IF(OR(AZ4=الإستمارة!$C$12,AZ4=الإستمارة!$C$13,AZ4=الإستمارة!$C$14,AZ4=الإستمارة!$C$15,AZ4=الإستمارة!$C$16,AZ4=الإستمارة!$C$17,AZ4=الإستمارة!$C$18),VLOOKUP(AZ4,الإستمارة!$C$12:$H$19,6,0),VLOOKUP(AZ4,الإستمارة!$K$12:$P$19,6,0)),"")</f>
        <v/>
      </c>
      <c r="BA5" s="196">
        <f>'اختيار المقررات'!Q16</f>
        <v>0</v>
      </c>
      <c r="BB5" s="197" t="str">
        <f>IFERROR(IF(OR(BB4=الإستمارة!$C$12,BB4=الإستمارة!$C$13,BB4=الإستمارة!$C$14,BB4=الإستمارة!$C$15,BB4=الإستمارة!$C$16,BB4=الإستمارة!$C$17,BB4=الإستمارة!$C$18),VLOOKUP(BB4,الإستمارة!$C$12:$H$19,6,0),VLOOKUP(BB4,الإستمارة!$K$12:$P$19,6,0)),"")</f>
        <v/>
      </c>
      <c r="BC5" s="198">
        <f>'اختيار المقررات'!Q17</f>
        <v>0</v>
      </c>
      <c r="BD5" s="199" t="str">
        <f>IFERROR(IF(OR(BD4=الإستمارة!$C$12,BD4=الإستمارة!$C$13,BD4=الإستمارة!$C$14,BD4=الإستمارة!$C$15,BD4=الإستمارة!$C$16,BD4=الإستمارة!$C$17,BD4=الإستمارة!$C$18),VLOOKUP(BD4,الإستمارة!$C$12:$H$19,6,0),VLOOKUP(BD4,الإستمارة!$K$12:$P$19,6,0)),"")</f>
        <v/>
      </c>
      <c r="BE5" s="196">
        <f>'اختيار المقررات'!Q18</f>
        <v>0</v>
      </c>
      <c r="BF5" s="197" t="str">
        <f>IFERROR(IF(OR(BF4=الإستمارة!$C$12,BF4=الإستمارة!$C$13,BF4=الإستمارة!$C$14,BF4=الإستمارة!$C$15,BF4=الإستمارة!$C$16,BF4=الإستمارة!$C$17,BF4=الإستمارة!$C$18),VLOOKUP(BF4,الإستمارة!$C$12:$H$19,6,0),VLOOKUP(BF4,الإستمارة!$K$12:$P$19,6,0)),"")</f>
        <v/>
      </c>
      <c r="BG5" s="196">
        <f>'اختيار المقررات'!Q19</f>
        <v>0</v>
      </c>
      <c r="BH5" s="197" t="str">
        <f>IFERROR(IF(OR(BH4=الإستمارة!$C$12,BH4=الإستمارة!$C$13,BH4=الإستمارة!$C$14,BH4=الإستمارة!$C$15,BH4=الإستمارة!$C$16,BH4=الإستمارة!$C$17,BH4=الإستمارة!$C$18),VLOOKUP(BH4,الإستمارة!$C$12:$H$19,6,0),VLOOKUP(BH4,الإستمارة!$K$12:$P$19,6,0)),"")</f>
        <v/>
      </c>
      <c r="BI5" s="196">
        <f>'اختيار المقررات'!Y8</f>
        <v>0</v>
      </c>
      <c r="BJ5" s="197" t="str">
        <f>IFERROR(IF(OR(BJ4=الإستمارة!$C$12,BJ4=الإستمارة!$C$13,BJ4=الإستمارة!$C$14,BJ4=الإستمارة!$C$15,BJ4=الإستمارة!$C$16,BJ4=الإستمارة!$C$17,BJ4=الإستمارة!$C$18),VLOOKUP(BJ4,الإستمارة!$C$12:$H$19,6,0),VLOOKUP(BJ4,الإستمارة!$K$12:$P$19,6,0)),"")</f>
        <v/>
      </c>
      <c r="BK5" s="196">
        <f>'اختيار المقررات'!Y9</f>
        <v>0</v>
      </c>
      <c r="BL5" s="197" t="str">
        <f>IFERROR(IF(OR(BL4=الإستمارة!$C$12,BL4=الإستمارة!$C$13,BL4=الإستمارة!$C$14,BL4=الإستمارة!$C$15,BL4=الإستمارة!$C$16,BL4=الإستمارة!$C$17,BL4=الإستمارة!$C$18),VLOOKUP(BL4,الإستمارة!$C$12:$H$19,6,0),VLOOKUP(BL4,الإستمارة!$K$12:$P$19,6,0)),"")</f>
        <v/>
      </c>
      <c r="BM5" s="196">
        <f>'اختيار المقررات'!Y10</f>
        <v>0</v>
      </c>
      <c r="BN5" s="197" t="str">
        <f>IFERROR(IF(OR(BN4=الإستمارة!$C$12,BN4=الإستمارة!$C$13,BN4=الإستمارة!$C$14,BN4=الإستمارة!$C$15,BN4=الإستمارة!$C$16,BN4=الإستمارة!$C$17,BN4=الإستمارة!$C$18),VLOOKUP(BN4,الإستمارة!$C$12:$H$19,6,0),VLOOKUP(BN4,الإستمارة!$K$12:$P$19,6,0)),"")</f>
        <v/>
      </c>
      <c r="BO5" s="200">
        <f>'اختيار المقررات'!Y11</f>
        <v>0</v>
      </c>
      <c r="BP5" s="195" t="str">
        <f>IFERROR(IF(OR(BP4=الإستمارة!$C$12,BP4=الإستمارة!$C$13,BP4=الإستمارة!$C$14,BP4=الإستمارة!$C$15,BP4=الإستمارة!$C$16,BP4=الإستمارة!$C$17,BP4=الإستمارة!$C$18),VLOOKUP(BP4,الإستمارة!$C$12:$H$19,6,0),VLOOKUP(BP4,الإستمارة!$K$12:$P$19,6,0)),"")</f>
        <v/>
      </c>
      <c r="BQ5" s="196">
        <f>'اختيار المقررات'!Y12</f>
        <v>0</v>
      </c>
      <c r="BR5" s="197" t="str">
        <f>IFERROR(IF(OR(BR4=الإستمارة!$C$12,BR4=الإستمارة!$C$13,BR4=الإستمارة!$C$14,BR4=الإستمارة!$C$15,BR4=الإستمارة!$C$16,BR4=الإستمارة!$C$17,BR4=الإستمارة!$C$18),VLOOKUP(BR4,الإستمارة!$C$12:$H$19,6,0),VLOOKUP(BR4,الإستمارة!$K$12:$P$19,6,0)),"")</f>
        <v/>
      </c>
      <c r="BS5" s="196">
        <f>'اختيار المقررات'!AG8</f>
        <v>0</v>
      </c>
      <c r="BT5" s="197" t="str">
        <f>IFERROR(IF(OR(BT4=الإستمارة!$C$12,BT4=الإستمارة!$C$13,BT4=الإستمارة!$C$14,BT4=الإستمارة!$C$15,BT4=الإستمارة!$C$16,BT4=الإستمارة!$C$17,BT4=الإستمارة!$C$18),VLOOKUP(BT4,الإستمارة!$C$12:$H$19,6,0),VLOOKUP(BT4,الإستمارة!$K$12:$P$19,6,0)),"")</f>
        <v/>
      </c>
      <c r="BU5" s="196">
        <f>'اختيار المقررات'!AG9</f>
        <v>0</v>
      </c>
      <c r="BV5" s="197" t="str">
        <f>IFERROR(IF(OR(BV4=الإستمارة!$C$12,BV4=الإستمارة!$C$13,BV4=الإستمارة!$C$14,BV4=الإستمارة!$C$15,BV4=الإستمارة!$C$16,BV4=الإستمارة!$C$17,BV4=الإستمارة!$C$18),VLOOKUP(BV4,الإستمارة!$C$12:$H$19,6,0),VLOOKUP(BV4,الإستمارة!$K$12:$P$19,6,0)),"")</f>
        <v/>
      </c>
      <c r="BW5" s="196">
        <f>'اختيار المقررات'!AG10</f>
        <v>0</v>
      </c>
      <c r="BX5" s="197" t="str">
        <f>IFERROR(IF(OR(BX4=الإستمارة!$C$12,BX4=الإستمارة!$C$13,BX4=الإستمارة!$C$14,BX4=الإستمارة!$C$15,BX4=الإستمارة!$C$16,BX4=الإستمارة!$C$17,BX4=الإستمارة!$C$18),VLOOKUP(BX4,الإستمارة!$C$12:$H$19,6,0),VLOOKUP(BX4,الإستمارة!$K$12:$P$19,6,0)),"")</f>
        <v/>
      </c>
      <c r="BY5" s="196">
        <f>'اختيار المقررات'!AG11</f>
        <v>0</v>
      </c>
      <c r="BZ5" s="197" t="str">
        <f>IFERROR(IF(OR(BZ4=الإستمارة!$C$12,BZ4=الإستمارة!$C$13,BZ4=الإستمارة!$C$14,BZ4=الإستمارة!$C$15,BZ4=الإستمارة!$C$16,BZ4=الإستمارة!$C$17,BZ4=الإستمارة!$C$18),VLOOKUP(BZ4,الإستمارة!$C$12:$H$19,6,0),VLOOKUP(BZ4,الإستمارة!$K$12:$P$19,6,0)),"")</f>
        <v/>
      </c>
      <c r="CA5" s="198">
        <f>'اختيار المقررات'!AG12</f>
        <v>0</v>
      </c>
      <c r="CB5" s="199" t="str">
        <f>IFERROR(IF(OR(CB4=الإستمارة!$C$12,CB4=الإستمارة!$C$13,CB4=الإستمارة!$C$14,CB4=الإستمارة!$C$15,CB4=الإستمارة!$C$16,CB4=الإستمارة!$C$17,CB4=الإستمارة!$C$18),VLOOKUP(CB4,الإستمارة!$C$12:$H$19,6,0),VLOOKUP(CB4,الإستمارة!$K$12:$P$19,6,0)),"")</f>
        <v/>
      </c>
      <c r="CC5" s="196">
        <f>'اختيار المقررات'!Y15</f>
        <v>0</v>
      </c>
      <c r="CD5" s="197" t="str">
        <f>IFERROR(IF(OR(CD4=الإستمارة!$C$12,CD4=الإستمارة!$C$13,CD4=الإستمارة!$C$14,CD4=الإستمارة!$C$15,CD4=الإستمارة!$C$16,CD4=الإستمارة!$C$17,CD4=الإستمارة!$C$18),VLOOKUP(CD4,الإستمارة!$C$12:$H$19,6,0),VLOOKUP(CD4,الإستمارة!$K$12:$P$19,6,0)),"")</f>
        <v/>
      </c>
      <c r="CE5" s="196">
        <f>'اختيار المقررات'!Y16</f>
        <v>0</v>
      </c>
      <c r="CF5" s="197" t="str">
        <f>IFERROR(IF(OR(CF4=الإستمارة!$C$12,CF4=الإستمارة!$C$13,CF4=الإستمارة!$C$14,CF4=الإستمارة!$C$15,CF4=الإستمارة!$C$16,CF4=الإستمارة!$C$17,CF4=الإستمارة!$C$18),VLOOKUP(CF4,الإستمارة!$C$12:$H$19,6,0),VLOOKUP(CF4,الإستمارة!$K$12:$P$19,6,0)),"")</f>
        <v/>
      </c>
      <c r="CG5" s="196">
        <f>'اختيار المقررات'!Y17</f>
        <v>0</v>
      </c>
      <c r="CH5" s="197" t="str">
        <f>IFERROR(IF(OR(CH4=الإستمارة!$C$12,CH4=الإستمارة!$C$13,CH4=الإستمارة!$C$14,CH4=الإستمارة!$C$15,CH4=الإستمارة!$C$16,CH4=الإستمارة!$C$17,CH4=الإستمارة!$C$18),VLOOKUP(CH4,الإستمارة!$C$12:$H$19,6,0),VLOOKUP(CH4,الإستمارة!$K$12:$P$19,6,0)),"")</f>
        <v/>
      </c>
      <c r="CI5" s="196">
        <f>'اختيار المقررات'!Y18</f>
        <v>0</v>
      </c>
      <c r="CJ5" s="197" t="str">
        <f>IFERROR(IF(OR(CJ4=الإستمارة!$C$12,CJ4=الإستمارة!$C$13,CJ4=الإستمارة!$C$14,CJ4=الإستمارة!$C$15,CJ4=الإستمارة!$C$16,CJ4=الإستمارة!$C$17,CJ4=الإستمارة!$C$18),VLOOKUP(CJ4,الإستمارة!$C$12:$H$19,6,0),VLOOKUP(CJ4,الإستمارة!$K$12:$P$19,6,0)),"")</f>
        <v/>
      </c>
      <c r="CK5" s="196">
        <f>'اختيار المقررات'!Y19</f>
        <v>0</v>
      </c>
      <c r="CL5" s="197" t="str">
        <f>IFERROR(IF(OR(CL4=الإستمارة!$C$12,CL4=الإستمارة!$C$13,CL4=الإستمارة!$C$14,CL4=الإستمارة!$C$15,CL4=الإستمارة!$C$16,CL4=الإستمارة!$C$17,CL4=الإستمارة!$C$18),VLOOKUP(CL4,الإستمارة!$C$12:$H$19,6,0),VLOOKUP(CL4,الإستمارة!$K$12:$P$19,6,0)),"")</f>
        <v/>
      </c>
      <c r="CM5" s="200">
        <f>'اختيار المقررات'!AG15</f>
        <v>0</v>
      </c>
      <c r="CN5" s="195" t="str">
        <f>IFERROR(IF(OR(CN4=الإستمارة!$C$12,CN4=الإستمارة!$C$13,CN4=الإستمارة!$C$14,CN4=الإستمارة!$C$15,CN4=الإستمارة!$C$16,CN4=الإستمارة!$C$17,CN4=الإستمارة!$C$18),VLOOKUP(CN4,الإستمارة!$C$12:$H$19,6,0),VLOOKUP(CN4,الإستمارة!$K$12:$P$19,6,0)),"")</f>
        <v/>
      </c>
      <c r="CO5" s="196">
        <f>'اختيار المقررات'!AG16</f>
        <v>0</v>
      </c>
      <c r="CP5" s="197" t="str">
        <f>IFERROR(IF(OR(CP4=الإستمارة!$C$12,CP4=الإستمارة!$C$13,CP4=الإستمارة!$C$14,CP4=الإستمارة!$C$15,CP4=الإستمارة!$C$16,CP4=الإستمارة!$C$17,CP4=الإستمارة!$C$18),VLOOKUP(CP4,الإستمارة!$C$12:$H$19,6,0),VLOOKUP(CP4,الإستمارة!$K$12:$P$19,6,0)),"")</f>
        <v/>
      </c>
      <c r="CQ5" s="196">
        <f>'اختيار المقررات'!AG17</f>
        <v>0</v>
      </c>
      <c r="CR5" s="197" t="str">
        <f>IFERROR(IF(OR(CR4=الإستمارة!$C$12,CR4=الإستمارة!$C$13,CR4=الإستمارة!$C$14,CR4=الإستمارة!$C$15,CR4=الإستمارة!$C$16,CR4=الإستمارة!$C$17,CR4=الإستمارة!$C$18),VLOOKUP(CR4,الإستمارة!$C$12:$H$19,6,0),VLOOKUP(CR4,الإستمارة!$K$12:$P$19,6,0)),"")</f>
        <v/>
      </c>
      <c r="CS5" s="196">
        <f>'اختيار المقررات'!AG18</f>
        <v>0</v>
      </c>
      <c r="CT5" s="197" t="str">
        <f>IFERROR(IF(OR(CT4=الإستمارة!$C$12,CT4=الإستمارة!$C$13,CT4=الإستمارة!$C$14,CT4=الإستمارة!$C$15,CT4=الإستمارة!$C$16,CT4=الإستمارة!$C$17,CT4=الإستمارة!$C$18),VLOOKUP(CT4,الإستمارة!$C$12:$H$19,6,0),VLOOKUP(CT4,الإستمارة!$K$12:$P$19,6,0)),"")</f>
        <v/>
      </c>
      <c r="CU5" s="196">
        <f>'اختيار المقررات'!AG19</f>
        <v>0</v>
      </c>
      <c r="CV5" s="201">
        <f>'اختيار المقررات'!Q5</f>
        <v>0</v>
      </c>
      <c r="CW5" s="202">
        <f>'اختيار المقررات'!W5</f>
        <v>0</v>
      </c>
      <c r="CX5" s="203">
        <f>'اختيار المقررات'!AB5</f>
        <v>0</v>
      </c>
      <c r="CY5" s="204">
        <f>'اختيار المقررات'!F5</f>
        <v>0</v>
      </c>
      <c r="CZ5" s="205">
        <f>'اختيار المقررات'!N27</f>
        <v>0</v>
      </c>
      <c r="DA5" s="206">
        <f>'اختيار المقررات'!N25</f>
        <v>12000</v>
      </c>
      <c r="DB5" s="206">
        <f>'اختيار المقررات'!N26</f>
        <v>0</v>
      </c>
      <c r="DC5" s="206">
        <f>'اختيار المقررات'!N28</f>
        <v>0</v>
      </c>
      <c r="DD5" s="207">
        <f>'اختيار المقررات'!N29</f>
        <v>12000</v>
      </c>
      <c r="DE5" s="206" t="str">
        <f>'اختيار المقررات'!V28</f>
        <v>لا</v>
      </c>
      <c r="DF5" s="206">
        <f>'اختيار المقررات'!V29</f>
        <v>12000</v>
      </c>
      <c r="DG5" s="206">
        <f>'اختيار المقررات'!AC29</f>
        <v>0</v>
      </c>
      <c r="DH5" s="201">
        <f>'اختيار المقررات'!AD25</f>
        <v>0</v>
      </c>
      <c r="DI5" s="208">
        <f>'اختيار المقررات'!AD26</f>
        <v>0</v>
      </c>
      <c r="DJ5" s="206">
        <f>'اختيار المقررات'!AD27</f>
        <v>0</v>
      </c>
      <c r="DK5" s="209">
        <f>SUM(DH5:DJ5)</f>
        <v>0</v>
      </c>
      <c r="DL5" s="201">
        <f>'اختيار المقررات'!AB2</f>
        <v>0</v>
      </c>
      <c r="DM5" s="202">
        <f>'اختيار المقررات'!W2</f>
        <v>0</v>
      </c>
      <c r="DN5" s="202">
        <f>'اختيار المقررات'!Q2</f>
        <v>0</v>
      </c>
      <c r="DO5" s="209">
        <f>'اختيار المقررات'!L2</f>
        <v>0</v>
      </c>
      <c r="DP5" s="210" t="str">
        <f>'اختيار المقررات'!C26</f>
        <v/>
      </c>
      <c r="DQ5" s="210" t="str">
        <f>'اختيار المقررات'!C27</f>
        <v/>
      </c>
      <c r="DR5" s="210" t="str">
        <f>'اختيار المقررات'!C28</f>
        <v/>
      </c>
      <c r="DS5" s="210" t="str">
        <f>'اختيار المقررات'!C29</f>
        <v/>
      </c>
      <c r="DT5" s="210" t="str">
        <f>'اختيار المقررات'!C30</f>
        <v/>
      </c>
      <c r="DU5" s="210" t="str">
        <f>'اختيار المقررات'!C31</f>
        <v/>
      </c>
      <c r="DV5" s="210" t="str">
        <f>'اختيار المقررات'!C32</f>
        <v/>
      </c>
      <c r="DW5" s="210" t="str">
        <f>'اختيار المقررات'!C33</f>
        <v/>
      </c>
      <c r="DX5" s="210">
        <f>'اختيار المقررات'!Y28</f>
        <v>0</v>
      </c>
    </row>
    <row r="6" spans="1:148" x14ac:dyDescent="0.25">
      <c r="DZ6" s="91"/>
      <c r="EA6" s="91"/>
      <c r="EB6" s="91"/>
      <c r="EC6" s="91"/>
      <c r="ED6" s="91"/>
      <c r="EE6" s="91"/>
      <c r="EF6" s="91"/>
      <c r="EG6" s="91"/>
      <c r="EH6" s="91"/>
      <c r="EI6" s="91"/>
      <c r="EJ6" s="91"/>
      <c r="EK6" s="91"/>
      <c r="EL6" s="91"/>
      <c r="EM6" s="91"/>
      <c r="EN6" s="91"/>
      <c r="EO6" s="91"/>
      <c r="EP6" s="91"/>
      <c r="EQ6" s="91"/>
      <c r="ER6" s="91"/>
    </row>
    <row r="7" spans="1:148" x14ac:dyDescent="0.25">
      <c r="DZ7" s="91"/>
      <c r="EA7" s="91"/>
      <c r="EB7" s="91"/>
      <c r="EC7" s="91"/>
      <c r="ED7" s="91"/>
      <c r="EE7" s="91"/>
      <c r="EF7" s="91"/>
      <c r="EG7" s="91"/>
      <c r="EH7" s="91"/>
      <c r="EI7" s="91"/>
      <c r="EJ7" s="91"/>
      <c r="EK7" s="91"/>
      <c r="EL7" s="91"/>
      <c r="EM7" s="91"/>
      <c r="EN7" s="91"/>
      <c r="EO7" s="91"/>
      <c r="EP7" s="91"/>
      <c r="EQ7" s="91"/>
      <c r="ER7" s="91"/>
    </row>
    <row r="8" spans="1:148" x14ac:dyDescent="0.25">
      <c r="DZ8" s="91"/>
      <c r="EA8" s="91"/>
      <c r="EB8" s="91"/>
      <c r="EC8" s="91"/>
      <c r="ED8" s="91"/>
      <c r="EE8" s="91"/>
      <c r="EF8" s="91"/>
      <c r="EG8" s="91"/>
      <c r="EH8" s="91"/>
      <c r="EI8" s="91"/>
      <c r="EJ8" s="91"/>
      <c r="EK8" s="91"/>
      <c r="EL8" s="91"/>
      <c r="EM8" s="91"/>
      <c r="EN8" s="91"/>
      <c r="EO8" s="91"/>
      <c r="EP8" s="91"/>
      <c r="EQ8" s="91"/>
      <c r="ER8" s="91"/>
    </row>
    <row r="9" spans="1:148" x14ac:dyDescent="0.25">
      <c r="DZ9" s="91"/>
      <c r="EA9" s="91"/>
      <c r="EB9" s="91"/>
      <c r="EC9" s="91"/>
      <c r="ED9" s="91"/>
      <c r="EE9" s="91"/>
      <c r="EF9" s="91"/>
      <c r="EG9" s="91"/>
      <c r="EH9" s="91"/>
      <c r="EI9" s="91"/>
      <c r="EJ9" s="91"/>
      <c r="EK9" s="91"/>
      <c r="EL9" s="91"/>
      <c r="EM9" s="91"/>
      <c r="EN9" s="91"/>
      <c r="EO9" s="91"/>
      <c r="EP9" s="91"/>
      <c r="EQ9" s="91"/>
      <c r="ER9" s="91"/>
    </row>
    <row r="10" spans="1:148" x14ac:dyDescent="0.25">
      <c r="DZ10" s="91"/>
      <c r="EA10" s="91"/>
      <c r="EB10" s="91"/>
      <c r="EC10" s="91"/>
      <c r="ED10" s="91"/>
      <c r="EE10" s="91"/>
      <c r="EF10" s="91"/>
      <c r="EG10" s="91"/>
      <c r="EH10" s="91"/>
      <c r="EI10" s="91"/>
      <c r="EJ10" s="91"/>
      <c r="EK10" s="91"/>
      <c r="EL10" s="91"/>
      <c r="EM10" s="91"/>
      <c r="EN10" s="91"/>
      <c r="EO10" s="91"/>
      <c r="EP10" s="91"/>
      <c r="EQ10" s="91"/>
      <c r="ER10" s="91"/>
    </row>
    <row r="11" spans="1:148" x14ac:dyDescent="0.25">
      <c r="DZ11" s="91"/>
      <c r="EA11" s="91"/>
      <c r="EB11" s="91"/>
      <c r="EC11" s="91"/>
      <c r="ED11" s="91"/>
      <c r="EE11" s="91"/>
      <c r="EF11" s="91"/>
      <c r="EG11" s="91"/>
      <c r="EH11" s="91"/>
      <c r="EI11" s="91"/>
      <c r="EJ11" s="91"/>
      <c r="EK11" s="91"/>
      <c r="EL11" s="91"/>
      <c r="EM11" s="91"/>
      <c r="EN11" s="91"/>
      <c r="EO11" s="91"/>
      <c r="EP11" s="91"/>
      <c r="EQ11" s="91"/>
      <c r="ER11" s="91"/>
    </row>
    <row r="12" spans="1:148" x14ac:dyDescent="0.25">
      <c r="DZ12" s="91"/>
      <c r="EA12" s="91"/>
      <c r="EB12" s="91"/>
      <c r="EC12" s="91"/>
      <c r="ED12" s="91"/>
      <c r="EE12" s="91"/>
      <c r="EF12" s="91"/>
      <c r="EG12" s="91"/>
      <c r="EH12" s="91"/>
      <c r="EI12" s="91"/>
      <c r="EJ12" s="91"/>
      <c r="EK12" s="91"/>
      <c r="EL12" s="91"/>
      <c r="EM12" s="91"/>
      <c r="EN12" s="91"/>
      <c r="EO12" s="91"/>
      <c r="EP12" s="91"/>
      <c r="EQ12" s="91"/>
      <c r="ER12" s="91"/>
    </row>
    <row r="13" spans="1:148" x14ac:dyDescent="0.25">
      <c r="DZ13" s="91"/>
      <c r="EA13" s="91"/>
      <c r="EB13" s="91"/>
      <c r="EC13" s="91"/>
      <c r="ED13" s="91"/>
      <c r="EE13" s="91"/>
      <c r="EF13" s="91"/>
      <c r="EG13" s="91"/>
      <c r="EH13" s="91"/>
      <c r="EI13" s="91"/>
      <c r="EJ13" s="91"/>
      <c r="EK13" s="91"/>
      <c r="EL13" s="91"/>
      <c r="EM13" s="91"/>
      <c r="EN13" s="91"/>
      <c r="EO13" s="91"/>
      <c r="EP13" s="91"/>
      <c r="EQ13" s="91"/>
      <c r="ER13" s="91"/>
    </row>
    <row r="14" spans="1:148" x14ac:dyDescent="0.25">
      <c r="DZ14" s="91"/>
      <c r="EA14" s="91"/>
      <c r="EB14" s="91"/>
      <c r="EC14" s="91"/>
      <c r="ED14" s="91"/>
      <c r="EE14" s="91"/>
      <c r="EF14" s="91"/>
      <c r="EG14" s="91"/>
      <c r="EH14" s="91"/>
      <c r="EI14" s="91"/>
      <c r="EJ14" s="91"/>
      <c r="EK14" s="91"/>
      <c r="EL14" s="91"/>
      <c r="EM14" s="91"/>
      <c r="EN14" s="91"/>
      <c r="EO14" s="91"/>
      <c r="EP14" s="91"/>
      <c r="EQ14" s="91"/>
      <c r="ER14" s="91"/>
    </row>
    <row r="15" spans="1:148" x14ac:dyDescent="0.25">
      <c r="DZ15" s="91"/>
      <c r="EA15" s="91"/>
      <c r="EB15" s="91"/>
      <c r="EC15" s="91"/>
      <c r="ED15" s="91"/>
      <c r="EE15" s="91"/>
      <c r="EF15" s="91"/>
      <c r="EG15" s="91"/>
      <c r="EH15" s="91"/>
      <c r="EI15" s="91"/>
      <c r="EJ15" s="91"/>
      <c r="EK15" s="91"/>
      <c r="EL15" s="91"/>
      <c r="EM15" s="91"/>
      <c r="EN15" s="91"/>
      <c r="EO15" s="91"/>
      <c r="EP15" s="91"/>
      <c r="EQ15" s="91"/>
      <c r="ER15" s="91"/>
    </row>
    <row r="16" spans="1:148" x14ac:dyDescent="0.25">
      <c r="DZ16" s="91"/>
      <c r="EA16" s="91"/>
      <c r="EB16" s="91"/>
      <c r="EC16" s="91"/>
      <c r="ED16" s="91"/>
      <c r="EE16" s="91"/>
      <c r="EF16" s="91"/>
      <c r="EG16" s="91"/>
      <c r="EH16" s="91"/>
      <c r="EI16" s="91"/>
      <c r="EJ16" s="91"/>
      <c r="EK16" s="91"/>
      <c r="EL16" s="91"/>
      <c r="EM16" s="91"/>
      <c r="EN16" s="91"/>
      <c r="EO16" s="91"/>
      <c r="EP16" s="91"/>
      <c r="EQ16" s="91"/>
      <c r="ER16" s="91"/>
    </row>
    <row r="17" spans="130:148" x14ac:dyDescent="0.25">
      <c r="DZ17" s="91"/>
      <c r="EA17" s="91"/>
      <c r="EB17" s="91"/>
      <c r="EC17" s="91"/>
      <c r="ED17" s="91"/>
      <c r="EE17" s="91"/>
      <c r="EF17" s="91"/>
      <c r="EG17" s="91"/>
      <c r="EH17" s="91"/>
      <c r="EI17" s="91"/>
      <c r="EJ17" s="91"/>
      <c r="EK17" s="91"/>
      <c r="EL17" s="91"/>
      <c r="EM17" s="91"/>
      <c r="EN17" s="91"/>
      <c r="EO17" s="91"/>
      <c r="EP17" s="91"/>
      <c r="EQ17" s="91"/>
      <c r="ER17" s="91"/>
    </row>
    <row r="18" spans="130:148" x14ac:dyDescent="0.25">
      <c r="DZ18" s="91"/>
      <c r="EA18" s="91"/>
      <c r="EB18" s="91"/>
      <c r="EC18" s="91"/>
      <c r="ED18" s="91"/>
      <c r="EE18" s="91"/>
      <c r="EF18" s="91"/>
      <c r="EG18" s="91"/>
      <c r="EH18" s="91"/>
      <c r="EI18" s="91"/>
      <c r="EJ18" s="91"/>
      <c r="EK18" s="91"/>
      <c r="EL18" s="91"/>
      <c r="EM18" s="91"/>
      <c r="EN18" s="91"/>
      <c r="EO18" s="91"/>
      <c r="EP18" s="91"/>
      <c r="EQ18" s="91"/>
      <c r="ER18" s="91"/>
    </row>
    <row r="19" spans="130:148" x14ac:dyDescent="0.25">
      <c r="DZ19" s="91"/>
      <c r="EA19" s="91"/>
      <c r="EB19" s="91"/>
      <c r="EC19" s="91"/>
      <c r="ED19" s="91"/>
      <c r="EE19" s="91"/>
      <c r="EF19" s="91"/>
      <c r="EG19" s="91"/>
      <c r="EH19" s="91"/>
      <c r="EI19" s="91"/>
      <c r="EJ19" s="91"/>
      <c r="EK19" s="91"/>
      <c r="EL19" s="91"/>
      <c r="EM19" s="91"/>
      <c r="EN19" s="91"/>
      <c r="EO19" s="91"/>
      <c r="EP19" s="91"/>
      <c r="EQ19" s="91"/>
      <c r="ER19" s="91"/>
    </row>
    <row r="20" spans="130:148" x14ac:dyDescent="0.25">
      <c r="DZ20" s="91"/>
      <c r="EA20" s="91"/>
      <c r="EB20" s="91"/>
      <c r="EC20" s="91"/>
      <c r="ED20" s="91"/>
      <c r="EE20" s="91"/>
      <c r="EF20" s="91"/>
      <c r="EG20" s="91"/>
      <c r="EH20" s="91"/>
      <c r="EI20" s="91"/>
      <c r="EJ20" s="91"/>
      <c r="EK20" s="91"/>
      <c r="EL20" s="91"/>
      <c r="EM20" s="91"/>
      <c r="EN20" s="91"/>
      <c r="EO20" s="91"/>
      <c r="EP20" s="91"/>
      <c r="EQ20" s="91"/>
      <c r="ER20" s="91"/>
    </row>
    <row r="21" spans="130:148" x14ac:dyDescent="0.25">
      <c r="DZ21" s="91"/>
      <c r="EA21" s="91"/>
      <c r="EB21" s="91"/>
      <c r="EC21" s="91"/>
      <c r="ED21" s="91"/>
      <c r="EE21" s="91"/>
      <c r="EF21" s="91"/>
      <c r="EG21" s="91"/>
      <c r="EH21" s="91"/>
      <c r="EI21" s="91"/>
      <c r="EJ21" s="91"/>
      <c r="EK21" s="91"/>
      <c r="EL21" s="91"/>
      <c r="EM21" s="91"/>
      <c r="EN21" s="91"/>
      <c r="EO21" s="91"/>
      <c r="EP21" s="91"/>
      <c r="EQ21" s="91"/>
      <c r="ER21" s="91"/>
    </row>
    <row r="22" spans="130:148" x14ac:dyDescent="0.25">
      <c r="DZ22" s="91"/>
      <c r="EA22" s="91"/>
      <c r="EB22" s="91"/>
      <c r="EC22" s="91"/>
      <c r="ED22" s="91"/>
      <c r="EE22" s="91"/>
      <c r="EF22" s="91"/>
      <c r="EG22" s="91"/>
      <c r="EH22" s="91"/>
      <c r="EI22" s="91"/>
      <c r="EJ22" s="91"/>
      <c r="EK22" s="91"/>
      <c r="EL22" s="91"/>
      <c r="EM22" s="91"/>
      <c r="EN22" s="91"/>
      <c r="EO22" s="91"/>
      <c r="EP22" s="91"/>
      <c r="EQ22" s="91"/>
      <c r="ER22" s="91"/>
    </row>
    <row r="23" spans="130:148" x14ac:dyDescent="0.25">
      <c r="DZ23" s="91"/>
      <c r="EA23" s="91"/>
      <c r="EB23" s="91"/>
      <c r="EC23" s="91"/>
      <c r="ED23" s="91"/>
      <c r="EE23" s="91"/>
      <c r="EF23" s="91"/>
      <c r="EG23" s="91"/>
      <c r="EH23" s="91"/>
      <c r="EI23" s="91"/>
      <c r="EJ23" s="91"/>
      <c r="EK23" s="91"/>
      <c r="EL23" s="91"/>
      <c r="EM23" s="91"/>
      <c r="EN23" s="91"/>
      <c r="EO23" s="91"/>
      <c r="EP23" s="91"/>
      <c r="EQ23" s="91"/>
      <c r="ER23" s="91"/>
    </row>
    <row r="24" spans="130:148" x14ac:dyDescent="0.25">
      <c r="DZ24" s="91"/>
      <c r="EA24" s="91"/>
      <c r="EB24" s="91"/>
      <c r="EC24" s="91"/>
      <c r="ED24" s="91"/>
      <c r="EE24" s="91"/>
      <c r="EF24" s="91"/>
      <c r="EG24" s="91"/>
      <c r="EH24" s="91"/>
      <c r="EI24" s="91"/>
      <c r="EJ24" s="91"/>
      <c r="EK24" s="91"/>
      <c r="EL24" s="91"/>
      <c r="EM24" s="91"/>
      <c r="EN24" s="91"/>
      <c r="EO24" s="91"/>
      <c r="EP24" s="91"/>
      <c r="EQ24" s="91"/>
      <c r="ER24" s="91"/>
    </row>
    <row r="25" spans="130:148" x14ac:dyDescent="0.25">
      <c r="DZ25" s="91"/>
      <c r="EA25" s="91"/>
      <c r="EB25" s="91"/>
      <c r="EC25" s="91"/>
      <c r="ED25" s="91"/>
      <c r="EE25" s="91"/>
      <c r="EF25" s="91"/>
      <c r="EG25" s="91"/>
      <c r="EH25" s="91"/>
      <c r="EI25" s="91"/>
      <c r="EJ25" s="91"/>
      <c r="EK25" s="91"/>
      <c r="EL25" s="91"/>
      <c r="EM25" s="91"/>
      <c r="EN25" s="91"/>
      <c r="EO25" s="91"/>
      <c r="EP25" s="91"/>
      <c r="EQ25" s="91"/>
      <c r="ER25" s="91"/>
    </row>
    <row r="26" spans="130:148" x14ac:dyDescent="0.25">
      <c r="DZ26" s="91"/>
      <c r="EA26" s="91"/>
      <c r="EB26" s="91"/>
      <c r="EC26" s="91"/>
      <c r="ED26" s="91"/>
      <c r="EE26" s="91"/>
      <c r="EF26" s="91"/>
      <c r="EG26" s="91"/>
      <c r="EH26" s="91"/>
      <c r="EI26" s="91"/>
      <c r="EJ26" s="91"/>
      <c r="EK26" s="91"/>
      <c r="EL26" s="91"/>
      <c r="EM26" s="91"/>
      <c r="EN26" s="91"/>
      <c r="EO26" s="91"/>
      <c r="EP26" s="91"/>
      <c r="EQ26" s="91"/>
      <c r="ER26" s="91"/>
    </row>
    <row r="27" spans="130:148" x14ac:dyDescent="0.25">
      <c r="DZ27" s="91"/>
      <c r="EA27" s="91"/>
      <c r="EB27" s="91"/>
      <c r="EC27" s="91"/>
      <c r="ED27" s="91"/>
      <c r="EE27" s="91"/>
      <c r="EF27" s="91"/>
      <c r="EG27" s="91"/>
      <c r="EH27" s="91"/>
      <c r="EI27" s="91"/>
      <c r="EJ27" s="91"/>
      <c r="EK27" s="91"/>
      <c r="EL27" s="91"/>
      <c r="EM27" s="91"/>
      <c r="EN27" s="91"/>
      <c r="EO27" s="91"/>
      <c r="EP27" s="91"/>
      <c r="EQ27" s="91"/>
      <c r="ER27" s="91"/>
    </row>
    <row r="28" spans="130:148" x14ac:dyDescent="0.25">
      <c r="DZ28" s="91"/>
      <c r="EA28" s="91"/>
      <c r="EB28" s="91"/>
      <c r="EC28" s="91"/>
      <c r="ED28" s="91"/>
      <c r="EE28" s="91"/>
      <c r="EF28" s="91"/>
      <c r="EG28" s="91"/>
      <c r="EH28" s="91"/>
      <c r="EI28" s="91"/>
      <c r="EJ28" s="91"/>
      <c r="EK28" s="91"/>
      <c r="EL28" s="91"/>
      <c r="EM28" s="91"/>
      <c r="EN28" s="91"/>
      <c r="EO28" s="91"/>
      <c r="EP28" s="91"/>
      <c r="EQ28" s="91"/>
      <c r="ER28" s="91"/>
    </row>
    <row r="29" spans="130:148" x14ac:dyDescent="0.25">
      <c r="DZ29" s="91"/>
      <c r="EA29" s="91"/>
      <c r="EB29" s="91"/>
      <c r="EC29" s="91"/>
      <c r="ED29" s="91"/>
      <c r="EE29" s="91"/>
      <c r="EF29" s="91"/>
      <c r="EG29" s="91"/>
      <c r="EH29" s="91"/>
      <c r="EI29" s="91"/>
      <c r="EJ29" s="91"/>
      <c r="EK29" s="91"/>
      <c r="EL29" s="91"/>
      <c r="EM29" s="91"/>
      <c r="EN29" s="91"/>
      <c r="EO29" s="91"/>
      <c r="EP29" s="91"/>
      <c r="EQ29" s="91"/>
      <c r="ER29" s="91"/>
    </row>
    <row r="30" spans="130:148" x14ac:dyDescent="0.25">
      <c r="DZ30" s="91"/>
      <c r="EA30" s="91"/>
      <c r="EB30" s="91"/>
      <c r="EC30" s="91"/>
      <c r="ED30" s="91"/>
      <c r="EE30" s="91"/>
      <c r="EF30" s="91"/>
      <c r="EG30" s="91"/>
      <c r="EH30" s="91"/>
      <c r="EI30" s="91"/>
      <c r="EJ30" s="91"/>
      <c r="EK30" s="91"/>
      <c r="EL30" s="91"/>
      <c r="EM30" s="91"/>
      <c r="EN30" s="91"/>
      <c r="EO30" s="91"/>
      <c r="EP30" s="91"/>
      <c r="EQ30" s="91"/>
      <c r="ER30" s="91"/>
    </row>
    <row r="31" spans="130:148" x14ac:dyDescent="0.25">
      <c r="DZ31" s="91"/>
      <c r="EA31" s="91"/>
      <c r="EB31" s="91"/>
      <c r="EC31" s="91"/>
      <c r="ED31" s="91"/>
      <c r="EE31" s="91"/>
      <c r="EF31" s="91"/>
      <c r="EG31" s="91"/>
      <c r="EH31" s="91"/>
      <c r="EI31" s="91"/>
      <c r="EJ31" s="91"/>
      <c r="EK31" s="91"/>
      <c r="EL31" s="91"/>
      <c r="EM31" s="91"/>
      <c r="EN31" s="91"/>
      <c r="EO31" s="91"/>
      <c r="EP31" s="91"/>
      <c r="EQ31" s="91"/>
      <c r="ER31" s="91"/>
    </row>
    <row r="32" spans="130:148" x14ac:dyDescent="0.25">
      <c r="DZ32" s="91"/>
      <c r="EA32" s="91"/>
      <c r="EB32" s="91"/>
      <c r="EC32" s="91"/>
      <c r="ED32" s="91"/>
      <c r="EE32" s="91"/>
      <c r="EF32" s="91"/>
      <c r="EG32" s="91"/>
      <c r="EH32" s="91"/>
      <c r="EI32" s="91"/>
      <c r="EJ32" s="91"/>
      <c r="EK32" s="91"/>
      <c r="EL32" s="91"/>
      <c r="EM32" s="91"/>
      <c r="EN32" s="91"/>
      <c r="EO32" s="91"/>
      <c r="EP32" s="91"/>
      <c r="EQ32" s="91"/>
      <c r="ER32" s="91"/>
    </row>
    <row r="33" spans="130:148" x14ac:dyDescent="0.25">
      <c r="DZ33" s="91"/>
      <c r="EA33" s="91"/>
      <c r="EB33" s="91"/>
      <c r="EC33" s="91"/>
      <c r="ED33" s="91"/>
      <c r="EE33" s="91"/>
      <c r="EF33" s="91"/>
      <c r="EG33" s="91"/>
      <c r="EH33" s="91"/>
      <c r="EI33" s="91"/>
      <c r="EJ33" s="91"/>
      <c r="EK33" s="91"/>
      <c r="EL33" s="91"/>
      <c r="EM33" s="91"/>
      <c r="EN33" s="91"/>
      <c r="EO33" s="91"/>
      <c r="EP33" s="91"/>
      <c r="EQ33" s="91"/>
      <c r="ER33" s="91"/>
    </row>
    <row r="34" spans="130:148" x14ac:dyDescent="0.25">
      <c r="DZ34" s="91"/>
      <c r="EA34" s="91"/>
      <c r="EB34" s="91"/>
      <c r="EC34" s="91"/>
      <c r="ED34" s="91"/>
      <c r="EE34" s="91"/>
      <c r="EF34" s="91"/>
      <c r="EG34" s="91"/>
      <c r="EH34" s="91"/>
      <c r="EI34" s="91"/>
      <c r="EJ34" s="91"/>
      <c r="EK34" s="91"/>
      <c r="EL34" s="91"/>
      <c r="EM34" s="91"/>
      <c r="EN34" s="91"/>
      <c r="EO34" s="91"/>
      <c r="EP34" s="91"/>
      <c r="EQ34" s="91"/>
      <c r="ER34" s="91"/>
    </row>
    <row r="35" spans="130:148" x14ac:dyDescent="0.25">
      <c r="DZ35" s="91"/>
      <c r="EA35" s="91"/>
      <c r="EB35" s="91"/>
      <c r="EC35" s="91"/>
      <c r="ED35" s="91"/>
      <c r="EE35" s="91"/>
      <c r="EF35" s="91"/>
      <c r="EG35" s="91"/>
      <c r="EH35" s="91"/>
      <c r="EI35" s="91"/>
      <c r="EJ35" s="91"/>
      <c r="EK35" s="91"/>
      <c r="EL35" s="91"/>
      <c r="EM35" s="91"/>
      <c r="EN35" s="91"/>
      <c r="EO35" s="91"/>
      <c r="EP35" s="91"/>
      <c r="EQ35" s="91"/>
      <c r="ER35" s="91"/>
    </row>
    <row r="36" spans="130:148" x14ac:dyDescent="0.25">
      <c r="DZ36" s="91"/>
      <c r="EA36" s="91"/>
      <c r="EB36" s="91"/>
      <c r="EC36" s="91"/>
      <c r="ED36" s="91"/>
      <c r="EE36" s="91"/>
      <c r="EF36" s="91"/>
      <c r="EG36" s="91"/>
      <c r="EH36" s="91"/>
      <c r="EI36" s="91"/>
      <c r="EJ36" s="91"/>
      <c r="EK36" s="91"/>
      <c r="EL36" s="91"/>
      <c r="EM36" s="91"/>
      <c r="EN36" s="91"/>
      <c r="EO36" s="91"/>
      <c r="EP36" s="91"/>
      <c r="EQ36" s="91"/>
      <c r="ER36" s="91"/>
    </row>
    <row r="37" spans="130:148" x14ac:dyDescent="0.25">
      <c r="DZ37" s="91"/>
      <c r="EA37" s="91"/>
      <c r="EB37" s="91"/>
      <c r="EC37" s="91"/>
      <c r="ED37" s="91"/>
      <c r="EE37" s="91"/>
      <c r="EF37" s="91"/>
      <c r="EG37" s="91"/>
      <c r="EH37" s="91"/>
      <c r="EI37" s="91"/>
      <c r="EJ37" s="91"/>
      <c r="EK37" s="91"/>
      <c r="EL37" s="91"/>
      <c r="EM37" s="91"/>
      <c r="EN37" s="91"/>
      <c r="EO37" s="91"/>
      <c r="EP37" s="91"/>
      <c r="EQ37" s="91"/>
      <c r="ER37" s="91"/>
    </row>
    <row r="38" spans="130:148" x14ac:dyDescent="0.25">
      <c r="DZ38" s="91"/>
      <c r="EA38" s="91"/>
      <c r="EB38" s="91"/>
      <c r="EC38" s="91"/>
      <c r="ED38" s="91"/>
      <c r="EE38" s="91"/>
      <c r="EF38" s="91"/>
      <c r="EG38" s="91"/>
      <c r="EH38" s="91"/>
      <c r="EI38" s="91"/>
      <c r="EJ38" s="91"/>
      <c r="EK38" s="91"/>
      <c r="EL38" s="91"/>
      <c r="EM38" s="91"/>
      <c r="EN38" s="91"/>
      <c r="EO38" s="91"/>
      <c r="EP38" s="91"/>
      <c r="EQ38" s="91"/>
      <c r="ER38" s="91"/>
    </row>
    <row r="39" spans="130:148" x14ac:dyDescent="0.25">
      <c r="DZ39" s="91"/>
      <c r="EA39" s="91"/>
      <c r="EB39" s="91"/>
      <c r="EC39" s="91"/>
      <c r="ED39" s="91"/>
      <c r="EE39" s="91"/>
      <c r="EF39" s="91"/>
      <c r="EG39" s="91"/>
      <c r="EH39" s="91"/>
      <c r="EI39" s="91"/>
      <c r="EJ39" s="91"/>
      <c r="EK39" s="91"/>
      <c r="EL39" s="91"/>
      <c r="EM39" s="91"/>
      <c r="EN39" s="91"/>
      <c r="EO39" s="91"/>
      <c r="EP39" s="91"/>
      <c r="EQ39" s="91"/>
      <c r="ER39" s="91"/>
    </row>
    <row r="40" spans="130:148" x14ac:dyDescent="0.25">
      <c r="DZ40" s="91"/>
      <c r="EA40" s="91"/>
      <c r="EB40" s="91"/>
      <c r="EC40" s="91"/>
      <c r="ED40" s="91"/>
      <c r="EE40" s="91"/>
      <c r="EF40" s="91"/>
      <c r="EG40" s="91"/>
      <c r="EH40" s="91"/>
      <c r="EI40" s="91"/>
      <c r="EJ40" s="91"/>
      <c r="EK40" s="91"/>
      <c r="EL40" s="91"/>
      <c r="EM40" s="91"/>
      <c r="EN40" s="91"/>
      <c r="EO40" s="91"/>
      <c r="EP40" s="91"/>
      <c r="EQ40" s="91"/>
      <c r="ER40" s="91"/>
    </row>
    <row r="41" spans="130:148" x14ac:dyDescent="0.25">
      <c r="DZ41" s="91"/>
      <c r="EA41" s="91"/>
      <c r="EB41" s="91"/>
      <c r="EC41" s="91"/>
      <c r="ED41" s="91"/>
      <c r="EE41" s="91"/>
      <c r="EF41" s="91"/>
      <c r="EG41" s="91"/>
      <c r="EH41" s="91"/>
      <c r="EI41" s="91"/>
      <c r="EJ41" s="91"/>
      <c r="EK41" s="91"/>
      <c r="EL41" s="91"/>
      <c r="EM41" s="91"/>
      <c r="EN41" s="91"/>
      <c r="EO41" s="91"/>
      <c r="EP41" s="91"/>
      <c r="EQ41" s="91"/>
      <c r="ER41" s="91"/>
    </row>
    <row r="42" spans="130:148" x14ac:dyDescent="0.25">
      <c r="DZ42" s="91"/>
      <c r="EA42" s="91"/>
      <c r="EB42" s="91"/>
      <c r="EC42" s="91"/>
      <c r="ED42" s="91"/>
      <c r="EE42" s="91"/>
      <c r="EF42" s="91"/>
      <c r="EG42" s="91"/>
      <c r="EH42" s="91"/>
      <c r="EI42" s="91"/>
      <c r="EJ42" s="91"/>
      <c r="EK42" s="91"/>
      <c r="EL42" s="91"/>
      <c r="EM42" s="91"/>
      <c r="EN42" s="91"/>
      <c r="EO42" s="91"/>
      <c r="EP42" s="91"/>
      <c r="EQ42" s="91"/>
      <c r="ER42" s="91"/>
    </row>
    <row r="43" spans="130:148" x14ac:dyDescent="0.25">
      <c r="DZ43" s="91"/>
      <c r="EA43" s="91"/>
      <c r="EB43" s="91"/>
      <c r="EC43" s="91"/>
      <c r="ED43" s="91"/>
      <c r="EE43" s="91"/>
      <c r="EF43" s="91"/>
      <c r="EG43" s="91"/>
      <c r="EH43" s="91"/>
      <c r="EI43" s="91"/>
      <c r="EJ43" s="91"/>
      <c r="EK43" s="91"/>
      <c r="EL43" s="91"/>
      <c r="EM43" s="91"/>
      <c r="EN43" s="91"/>
      <c r="EO43" s="91"/>
      <c r="EP43" s="91"/>
      <c r="EQ43" s="91"/>
      <c r="ER43" s="91"/>
    </row>
    <row r="44" spans="130:148" x14ac:dyDescent="0.25">
      <c r="DZ44" s="91"/>
      <c r="EA44" s="91"/>
      <c r="EB44" s="91"/>
      <c r="EC44" s="91"/>
      <c r="ED44" s="91"/>
      <c r="EE44" s="91"/>
      <c r="EF44" s="91"/>
      <c r="EG44" s="91"/>
      <c r="EH44" s="91"/>
      <c r="EI44" s="91"/>
      <c r="EJ44" s="91"/>
      <c r="EK44" s="91"/>
      <c r="EL44" s="91"/>
      <c r="EM44" s="91"/>
      <c r="EN44" s="91"/>
      <c r="EO44" s="91"/>
      <c r="EP44" s="91"/>
      <c r="EQ44" s="91"/>
      <c r="ER44" s="91"/>
    </row>
    <row r="45" spans="130:148" x14ac:dyDescent="0.25">
      <c r="DZ45" s="91"/>
      <c r="EA45" s="91"/>
      <c r="EB45" s="91"/>
      <c r="EC45" s="91"/>
      <c r="ED45" s="91"/>
      <c r="EE45" s="91"/>
      <c r="EF45" s="91"/>
      <c r="EG45" s="91"/>
      <c r="EH45" s="91"/>
      <c r="EI45" s="91"/>
      <c r="EJ45" s="91"/>
      <c r="EK45" s="91"/>
      <c r="EL45" s="91"/>
      <c r="EM45" s="91"/>
      <c r="EN45" s="91"/>
      <c r="EO45" s="91"/>
      <c r="EP45" s="91"/>
      <c r="EQ45" s="91"/>
      <c r="ER45" s="91"/>
    </row>
    <row r="46" spans="130:148" x14ac:dyDescent="0.25">
      <c r="DZ46" s="91"/>
      <c r="EA46" s="91"/>
      <c r="EB46" s="91"/>
      <c r="EC46" s="91"/>
      <c r="ED46" s="91"/>
      <c r="EE46" s="91"/>
      <c r="EF46" s="91"/>
      <c r="EG46" s="91"/>
      <c r="EH46" s="91"/>
      <c r="EI46" s="91"/>
      <c r="EJ46" s="91"/>
      <c r="EK46" s="91"/>
      <c r="EL46" s="91"/>
      <c r="EM46" s="91"/>
      <c r="EN46" s="91"/>
      <c r="EO46" s="91"/>
      <c r="EP46" s="91"/>
      <c r="EQ46" s="91"/>
      <c r="ER46" s="91"/>
    </row>
    <row r="47" spans="130:148" x14ac:dyDescent="0.25">
      <c r="DZ47" s="91"/>
      <c r="EA47" s="91"/>
      <c r="EB47" s="91"/>
      <c r="EC47" s="91"/>
      <c r="ED47" s="91"/>
      <c r="EE47" s="91"/>
      <c r="EF47" s="91"/>
      <c r="EG47" s="91"/>
      <c r="EH47" s="91"/>
      <c r="EI47" s="91"/>
      <c r="EJ47" s="91"/>
      <c r="EK47" s="91"/>
      <c r="EL47" s="91"/>
      <c r="EM47" s="91"/>
      <c r="EN47" s="91"/>
      <c r="EO47" s="91"/>
      <c r="EP47" s="91"/>
      <c r="EQ47" s="91"/>
      <c r="ER47" s="91"/>
    </row>
    <row r="48" spans="130:148" x14ac:dyDescent="0.25">
      <c r="DZ48" s="91"/>
      <c r="EA48" s="91"/>
      <c r="EB48" s="91"/>
      <c r="EC48" s="91"/>
      <c r="ED48" s="91"/>
      <c r="EE48" s="91"/>
      <c r="EF48" s="91"/>
      <c r="EG48" s="91"/>
      <c r="EH48" s="91"/>
      <c r="EI48" s="91"/>
      <c r="EJ48" s="91"/>
      <c r="EK48" s="91"/>
      <c r="EL48" s="91"/>
      <c r="EM48" s="91"/>
      <c r="EN48" s="91"/>
      <c r="EO48" s="91"/>
      <c r="EP48" s="91"/>
      <c r="EQ48" s="91"/>
      <c r="ER48" s="91"/>
    </row>
    <row r="49" spans="130:148" x14ac:dyDescent="0.25">
      <c r="DZ49" s="91"/>
      <c r="EA49" s="91"/>
      <c r="EB49" s="91"/>
      <c r="EC49" s="91"/>
      <c r="ED49" s="91"/>
      <c r="EE49" s="91"/>
      <c r="EF49" s="91"/>
      <c r="EG49" s="91"/>
      <c r="EH49" s="91"/>
      <c r="EI49" s="91"/>
      <c r="EJ49" s="91"/>
      <c r="EK49" s="91"/>
      <c r="EL49" s="91"/>
      <c r="EM49" s="91"/>
      <c r="EN49" s="91"/>
      <c r="EO49" s="91"/>
      <c r="EP49" s="91"/>
      <c r="EQ49" s="91"/>
      <c r="ER49" s="91"/>
    </row>
    <row r="50" spans="130:148" x14ac:dyDescent="0.25">
      <c r="DZ50" s="91"/>
      <c r="EA50" s="91"/>
      <c r="EB50" s="91"/>
      <c r="EC50" s="91"/>
      <c r="ED50" s="91"/>
      <c r="EE50" s="91"/>
      <c r="EF50" s="91"/>
      <c r="EG50" s="91"/>
      <c r="EH50" s="91"/>
      <c r="EI50" s="91"/>
      <c r="EJ50" s="91"/>
      <c r="EK50" s="91"/>
      <c r="EL50" s="91"/>
      <c r="EM50" s="91"/>
      <c r="EN50" s="91"/>
      <c r="EO50" s="91"/>
      <c r="EP50" s="91"/>
      <c r="EQ50" s="91"/>
      <c r="ER50" s="91"/>
    </row>
    <row r="51" spans="130:148" x14ac:dyDescent="0.25">
      <c r="DZ51" s="91"/>
      <c r="EA51" s="91"/>
      <c r="EB51" s="91"/>
      <c r="EC51" s="91"/>
      <c r="ED51" s="91"/>
      <c r="EE51" s="91"/>
      <c r="EF51" s="91"/>
      <c r="EG51" s="91"/>
      <c r="EH51" s="91"/>
      <c r="EI51" s="91"/>
      <c r="EJ51" s="91"/>
      <c r="EK51" s="91"/>
      <c r="EL51" s="91"/>
      <c r="EM51" s="91"/>
      <c r="EN51" s="91"/>
      <c r="EO51" s="91"/>
      <c r="EP51" s="91"/>
      <c r="EQ51" s="91"/>
      <c r="ER51" s="91"/>
    </row>
    <row r="52" spans="130:148" x14ac:dyDescent="0.25">
      <c r="DZ52" s="91"/>
      <c r="EA52" s="91"/>
      <c r="EB52" s="91"/>
      <c r="EC52" s="91"/>
      <c r="ED52" s="91"/>
      <c r="EE52" s="91"/>
      <c r="EF52" s="91"/>
      <c r="EG52" s="91"/>
      <c r="EH52" s="91"/>
      <c r="EI52" s="91"/>
      <c r="EJ52" s="91"/>
      <c r="EK52" s="91"/>
      <c r="EL52" s="91"/>
      <c r="EM52" s="91"/>
      <c r="EN52" s="91"/>
      <c r="EO52" s="91"/>
      <c r="EP52" s="91"/>
      <c r="EQ52" s="91"/>
      <c r="ER52" s="91"/>
    </row>
    <row r="53" spans="130:148" x14ac:dyDescent="0.25">
      <c r="DZ53" s="91"/>
      <c r="EA53" s="91"/>
      <c r="EB53" s="91"/>
      <c r="EC53" s="91"/>
      <c r="ED53" s="91"/>
      <c r="EE53" s="91"/>
      <c r="EF53" s="91"/>
      <c r="EG53" s="91"/>
      <c r="EH53" s="91"/>
      <c r="EI53" s="91"/>
      <c r="EJ53" s="91"/>
      <c r="EK53" s="91"/>
      <c r="EL53" s="91"/>
      <c r="EM53" s="91"/>
      <c r="EN53" s="91"/>
      <c r="EO53" s="91"/>
      <c r="EP53" s="91"/>
      <c r="EQ53" s="91"/>
      <c r="ER53" s="91"/>
    </row>
    <row r="54" spans="130:148" x14ac:dyDescent="0.25">
      <c r="DZ54" s="91"/>
      <c r="EA54" s="91"/>
      <c r="EB54" s="91"/>
      <c r="EC54" s="91"/>
      <c r="ED54" s="91"/>
      <c r="EE54" s="91"/>
      <c r="EF54" s="91"/>
      <c r="EG54" s="91"/>
      <c r="EH54" s="91"/>
      <c r="EI54" s="91"/>
      <c r="EJ54" s="91"/>
      <c r="EK54" s="91"/>
      <c r="EL54" s="91"/>
      <c r="EM54" s="91"/>
      <c r="EN54" s="91"/>
      <c r="EO54" s="91"/>
      <c r="EP54" s="91"/>
      <c r="EQ54" s="91"/>
      <c r="ER54" s="91"/>
    </row>
    <row r="55" spans="130:148" x14ac:dyDescent="0.25">
      <c r="DZ55" s="91"/>
      <c r="EA55" s="91"/>
      <c r="EB55" s="91"/>
      <c r="EC55" s="91"/>
      <c r="ED55" s="91"/>
      <c r="EE55" s="91"/>
      <c r="EF55" s="91"/>
      <c r="EG55" s="91"/>
      <c r="EH55" s="91"/>
      <c r="EI55" s="91"/>
      <c r="EJ55" s="91"/>
      <c r="EK55" s="91"/>
      <c r="EL55" s="91"/>
      <c r="EM55" s="91"/>
      <c r="EN55" s="91"/>
      <c r="EO55" s="91"/>
      <c r="EP55" s="91"/>
      <c r="EQ55" s="91"/>
      <c r="ER55" s="91"/>
    </row>
    <row r="56" spans="130:148" x14ac:dyDescent="0.25">
      <c r="DZ56" s="91"/>
      <c r="EA56" s="91"/>
      <c r="EB56" s="91"/>
      <c r="EC56" s="91"/>
      <c r="ED56" s="91"/>
      <c r="EE56" s="91"/>
      <c r="EF56" s="91"/>
      <c r="EG56" s="91"/>
      <c r="EH56" s="91"/>
      <c r="EI56" s="91"/>
      <c r="EJ56" s="91"/>
      <c r="EK56" s="91"/>
      <c r="EL56" s="91"/>
      <c r="EM56" s="91"/>
      <c r="EN56" s="91"/>
      <c r="EO56" s="91"/>
      <c r="EP56" s="91"/>
      <c r="EQ56" s="91"/>
      <c r="ER56" s="91"/>
    </row>
    <row r="57" spans="130:148" x14ac:dyDescent="0.25">
      <c r="DZ57" s="91"/>
      <c r="EA57" s="91"/>
      <c r="EB57" s="91"/>
      <c r="EC57" s="91"/>
      <c r="ED57" s="91"/>
      <c r="EE57" s="91"/>
      <c r="EF57" s="91"/>
      <c r="EG57" s="91"/>
      <c r="EH57" s="91"/>
      <c r="EI57" s="91"/>
      <c r="EJ57" s="91"/>
      <c r="EK57" s="91"/>
      <c r="EL57" s="91"/>
      <c r="EM57" s="91"/>
      <c r="EN57" s="91"/>
      <c r="EO57" s="91"/>
      <c r="EP57" s="91"/>
      <c r="EQ57" s="91"/>
      <c r="ER57" s="91"/>
    </row>
    <row r="58" spans="130:148" x14ac:dyDescent="0.25">
      <c r="DZ58" s="91"/>
      <c r="EA58" s="91"/>
      <c r="EB58" s="91"/>
      <c r="EC58" s="91"/>
      <c r="ED58" s="91"/>
      <c r="EE58" s="91"/>
      <c r="EF58" s="91"/>
      <c r="EG58" s="91"/>
      <c r="EH58" s="91"/>
      <c r="EI58" s="91"/>
      <c r="EJ58" s="91"/>
      <c r="EK58" s="91"/>
      <c r="EL58" s="91"/>
      <c r="EM58" s="91"/>
      <c r="EN58" s="91"/>
      <c r="EO58" s="91"/>
      <c r="EP58" s="91"/>
      <c r="EQ58" s="91"/>
      <c r="ER58" s="91"/>
    </row>
    <row r="59" spans="130:148" x14ac:dyDescent="0.25">
      <c r="DZ59" s="91"/>
      <c r="EA59" s="91"/>
      <c r="EB59" s="91"/>
      <c r="EC59" s="91"/>
      <c r="ED59" s="91"/>
      <c r="EE59" s="91"/>
      <c r="EF59" s="91"/>
      <c r="EG59" s="91"/>
      <c r="EH59" s="91"/>
      <c r="EI59" s="91"/>
      <c r="EJ59" s="91"/>
      <c r="EK59" s="91"/>
      <c r="EL59" s="91"/>
      <c r="EM59" s="91"/>
      <c r="EN59" s="91"/>
      <c r="EO59" s="91"/>
      <c r="EP59" s="91"/>
      <c r="EQ59" s="91"/>
      <c r="ER59" s="91"/>
    </row>
    <row r="60" spans="130:148" x14ac:dyDescent="0.25">
      <c r="DZ60" s="91"/>
      <c r="EA60" s="91"/>
      <c r="EB60" s="91"/>
      <c r="EC60" s="91"/>
      <c r="ED60" s="91"/>
      <c r="EE60" s="91"/>
      <c r="EF60" s="91"/>
      <c r="EG60" s="91"/>
      <c r="EH60" s="91"/>
      <c r="EI60" s="91"/>
      <c r="EJ60" s="91"/>
      <c r="EK60" s="91"/>
      <c r="EL60" s="91"/>
      <c r="EM60" s="91"/>
      <c r="EN60" s="91"/>
      <c r="EO60" s="91"/>
      <c r="EP60" s="91"/>
      <c r="EQ60" s="91"/>
      <c r="ER60" s="91"/>
    </row>
    <row r="61" spans="130:148" x14ac:dyDescent="0.25">
      <c r="DZ61" s="91"/>
      <c r="EA61" s="91"/>
      <c r="EB61" s="91"/>
      <c r="EC61" s="91"/>
      <c r="ED61" s="91"/>
      <c r="EE61" s="91"/>
      <c r="EF61" s="91"/>
      <c r="EG61" s="91"/>
      <c r="EH61" s="91"/>
      <c r="EI61" s="91"/>
      <c r="EJ61" s="91"/>
      <c r="EK61" s="91"/>
      <c r="EL61" s="91"/>
      <c r="EM61" s="91"/>
      <c r="EN61" s="91"/>
      <c r="EO61" s="91"/>
      <c r="EP61" s="91"/>
      <c r="EQ61" s="91"/>
      <c r="ER61" s="91"/>
    </row>
    <row r="62" spans="130:148" x14ac:dyDescent="0.25">
      <c r="DZ62" s="91"/>
      <c r="EA62" s="91"/>
      <c r="EB62" s="91"/>
      <c r="EC62" s="91"/>
      <c r="ED62" s="91"/>
      <c r="EE62" s="91"/>
      <c r="EF62" s="91"/>
      <c r="EG62" s="91"/>
      <c r="EH62" s="91"/>
      <c r="EI62" s="91"/>
      <c r="EJ62" s="91"/>
      <c r="EK62" s="91"/>
      <c r="EL62" s="91"/>
      <c r="EM62" s="91"/>
      <c r="EN62" s="91"/>
      <c r="EO62" s="91"/>
      <c r="EP62" s="91"/>
      <c r="EQ62" s="91"/>
      <c r="ER62" s="91"/>
    </row>
    <row r="63" spans="130:148" x14ac:dyDescent="0.25">
      <c r="DZ63" s="91"/>
      <c r="EA63" s="91"/>
      <c r="EB63" s="91"/>
      <c r="EC63" s="91"/>
      <c r="ED63" s="91"/>
      <c r="EE63" s="91"/>
      <c r="EF63" s="91"/>
      <c r="EG63" s="91"/>
      <c r="EH63" s="91"/>
      <c r="EI63" s="91"/>
      <c r="EJ63" s="91"/>
      <c r="EK63" s="91"/>
      <c r="EL63" s="91"/>
      <c r="EM63" s="91"/>
      <c r="EN63" s="91"/>
      <c r="EO63" s="91"/>
      <c r="EP63" s="91"/>
      <c r="EQ63" s="91"/>
      <c r="ER63" s="91"/>
    </row>
    <row r="64" spans="130:148" x14ac:dyDescent="0.25">
      <c r="DZ64" s="91"/>
      <c r="EA64" s="91"/>
      <c r="EB64" s="91"/>
      <c r="EC64" s="91"/>
      <c r="ED64" s="91"/>
      <c r="EE64" s="91"/>
      <c r="EF64" s="91"/>
      <c r="EG64" s="91"/>
      <c r="EH64" s="91"/>
      <c r="EI64" s="91"/>
      <c r="EJ64" s="91"/>
      <c r="EK64" s="91"/>
      <c r="EL64" s="91"/>
      <c r="EM64" s="91"/>
      <c r="EN64" s="91"/>
      <c r="EO64" s="91"/>
      <c r="EP64" s="91"/>
      <c r="EQ64" s="91"/>
      <c r="ER64" s="91"/>
    </row>
    <row r="65" spans="130:148" x14ac:dyDescent="0.25">
      <c r="DZ65" s="91"/>
      <c r="EA65" s="91"/>
      <c r="EB65" s="91"/>
      <c r="EC65" s="91"/>
      <c r="ED65" s="91"/>
      <c r="EE65" s="91"/>
      <c r="EF65" s="91"/>
      <c r="EG65" s="91"/>
      <c r="EH65" s="91"/>
      <c r="EI65" s="91"/>
      <c r="EJ65" s="91"/>
      <c r="EK65" s="91"/>
      <c r="EL65" s="91"/>
      <c r="EM65" s="91"/>
      <c r="EN65" s="91"/>
      <c r="EO65" s="91"/>
      <c r="EP65" s="91"/>
      <c r="EQ65" s="91"/>
      <c r="ER65" s="91"/>
    </row>
    <row r="66" spans="130:148" x14ac:dyDescent="0.25">
      <c r="DZ66" s="91"/>
      <c r="EA66" s="91"/>
      <c r="EB66" s="91"/>
      <c r="EC66" s="91"/>
      <c r="ED66" s="91"/>
      <c r="EE66" s="91"/>
      <c r="EF66" s="91"/>
      <c r="EG66" s="91"/>
      <c r="EH66" s="91"/>
      <c r="EI66" s="91"/>
      <c r="EJ66" s="91"/>
      <c r="EK66" s="91"/>
      <c r="EL66" s="91"/>
      <c r="EM66" s="91"/>
      <c r="EN66" s="91"/>
      <c r="EO66" s="91"/>
      <c r="EP66" s="91"/>
      <c r="EQ66" s="91"/>
      <c r="ER66" s="91"/>
    </row>
    <row r="67" spans="130:148" x14ac:dyDescent="0.25">
      <c r="DZ67" s="91"/>
      <c r="EA67" s="91"/>
      <c r="EB67" s="91"/>
      <c r="EC67" s="91"/>
      <c r="ED67" s="91"/>
      <c r="EE67" s="91"/>
      <c r="EF67" s="91"/>
      <c r="EG67" s="91"/>
      <c r="EH67" s="91"/>
      <c r="EI67" s="91"/>
      <c r="EJ67" s="91"/>
      <c r="EK67" s="91"/>
      <c r="EL67" s="91"/>
      <c r="EM67" s="91"/>
      <c r="EN67" s="91"/>
      <c r="EO67" s="91"/>
      <c r="EP67" s="91"/>
      <c r="EQ67" s="91"/>
      <c r="ER67" s="91"/>
    </row>
    <row r="68" spans="130:148" x14ac:dyDescent="0.25">
      <c r="DZ68" s="91"/>
      <c r="EA68" s="91"/>
      <c r="EB68" s="91"/>
      <c r="EC68" s="91"/>
      <c r="ED68" s="91"/>
      <c r="EE68" s="91"/>
      <c r="EF68" s="91"/>
      <c r="EG68" s="91"/>
      <c r="EH68" s="91"/>
      <c r="EI68" s="91"/>
      <c r="EJ68" s="91"/>
      <c r="EK68" s="91"/>
      <c r="EL68" s="91"/>
      <c r="EM68" s="91"/>
      <c r="EN68" s="91"/>
      <c r="EO68" s="91"/>
      <c r="EP68" s="91"/>
      <c r="EQ68" s="91"/>
      <c r="ER68" s="91"/>
    </row>
    <row r="69" spans="130:148" x14ac:dyDescent="0.25">
      <c r="DZ69" s="91"/>
      <c r="EA69" s="91"/>
      <c r="EB69" s="91"/>
      <c r="EC69" s="91"/>
      <c r="ED69" s="91"/>
      <c r="EE69" s="91"/>
      <c r="EF69" s="91"/>
      <c r="EG69" s="91"/>
      <c r="EH69" s="91"/>
      <c r="EI69" s="91"/>
      <c r="EJ69" s="91"/>
      <c r="EK69" s="91"/>
      <c r="EL69" s="91"/>
      <c r="EM69" s="91"/>
      <c r="EN69" s="91"/>
      <c r="EO69" s="91"/>
      <c r="EP69" s="91"/>
      <c r="EQ69" s="91"/>
      <c r="ER69" s="91"/>
    </row>
    <row r="70" spans="130:148" x14ac:dyDescent="0.25">
      <c r="DZ70" s="91"/>
      <c r="EA70" s="91"/>
      <c r="EB70" s="91"/>
      <c r="EC70" s="91"/>
      <c r="ED70" s="91"/>
      <c r="EE70" s="91"/>
      <c r="EF70" s="91"/>
      <c r="EG70" s="91"/>
      <c r="EH70" s="91"/>
      <c r="EI70" s="91"/>
      <c r="EJ70" s="91"/>
      <c r="EK70" s="91"/>
      <c r="EL70" s="91"/>
      <c r="EM70" s="91"/>
      <c r="EN70" s="91"/>
      <c r="EO70" s="91"/>
      <c r="EP70" s="91"/>
      <c r="EQ70" s="91"/>
      <c r="ER70" s="91"/>
    </row>
    <row r="71" spans="130:148" x14ac:dyDescent="0.25">
      <c r="DZ71" s="91"/>
      <c r="EA71" s="91"/>
      <c r="EB71" s="91"/>
      <c r="EC71" s="91"/>
      <c r="ED71" s="91"/>
      <c r="EE71" s="91"/>
      <c r="EF71" s="91"/>
      <c r="EG71" s="91"/>
      <c r="EH71" s="91"/>
      <c r="EI71" s="91"/>
      <c r="EJ71" s="91"/>
      <c r="EK71" s="91"/>
      <c r="EL71" s="91"/>
      <c r="EM71" s="91"/>
      <c r="EN71" s="91"/>
      <c r="EO71" s="91"/>
      <c r="EP71" s="91"/>
      <c r="EQ71" s="91"/>
      <c r="ER71" s="91"/>
    </row>
    <row r="72" spans="130:148" x14ac:dyDescent="0.25">
      <c r="DZ72" s="91"/>
      <c r="EA72" s="91"/>
      <c r="EB72" s="91"/>
      <c r="EC72" s="91"/>
      <c r="ED72" s="91"/>
      <c r="EE72" s="91"/>
      <c r="EF72" s="91"/>
      <c r="EG72" s="91"/>
      <c r="EH72" s="91"/>
      <c r="EI72" s="91"/>
      <c r="EJ72" s="91"/>
      <c r="EK72" s="91"/>
      <c r="EL72" s="91"/>
      <c r="EM72" s="91"/>
      <c r="EN72" s="91"/>
      <c r="EO72" s="91"/>
      <c r="EP72" s="91"/>
      <c r="EQ72" s="91"/>
      <c r="ER72" s="91"/>
    </row>
    <row r="73" spans="130:148" x14ac:dyDescent="0.25">
      <c r="DZ73" s="91"/>
      <c r="EA73" s="91"/>
      <c r="EB73" s="91"/>
      <c r="EC73" s="91"/>
      <c r="ED73" s="91"/>
      <c r="EE73" s="91"/>
      <c r="EF73" s="91"/>
      <c r="EG73" s="91"/>
      <c r="EH73" s="91"/>
      <c r="EI73" s="91"/>
      <c r="EJ73" s="91"/>
      <c r="EK73" s="91"/>
      <c r="EL73" s="91"/>
      <c r="EM73" s="91"/>
      <c r="EN73" s="91"/>
      <c r="EO73" s="91"/>
      <c r="EP73" s="91"/>
      <c r="EQ73" s="91"/>
      <c r="ER73" s="91"/>
    </row>
    <row r="74" spans="130:148" x14ac:dyDescent="0.25">
      <c r="DZ74" s="91"/>
      <c r="EA74" s="91"/>
      <c r="EB74" s="91"/>
      <c r="EC74" s="91"/>
      <c r="ED74" s="91"/>
      <c r="EE74" s="91"/>
      <c r="EF74" s="91"/>
      <c r="EG74" s="91"/>
      <c r="EH74" s="91"/>
      <c r="EI74" s="91"/>
      <c r="EJ74" s="91"/>
      <c r="EK74" s="91"/>
      <c r="EL74" s="91"/>
      <c r="EM74" s="91"/>
      <c r="EN74" s="91"/>
      <c r="EO74" s="91"/>
      <c r="EP74" s="91"/>
      <c r="EQ74" s="91"/>
      <c r="ER74" s="91"/>
    </row>
    <row r="75" spans="130:148" x14ac:dyDescent="0.25">
      <c r="DZ75" s="91"/>
      <c r="EA75" s="91"/>
      <c r="EB75" s="91"/>
      <c r="EC75" s="91"/>
      <c r="ED75" s="91"/>
      <c r="EE75" s="91"/>
      <c r="EF75" s="91"/>
      <c r="EG75" s="91"/>
      <c r="EH75" s="91"/>
      <c r="EI75" s="91"/>
      <c r="EJ75" s="91"/>
      <c r="EK75" s="91"/>
      <c r="EL75" s="91"/>
      <c r="EM75" s="91"/>
      <c r="EN75" s="91"/>
      <c r="EO75" s="91"/>
      <c r="EP75" s="91"/>
      <c r="EQ75" s="91"/>
      <c r="ER75" s="91"/>
    </row>
    <row r="76" spans="130:148" x14ac:dyDescent="0.25">
      <c r="DZ76" s="91"/>
      <c r="EA76" s="91"/>
      <c r="EB76" s="91"/>
      <c r="EC76" s="91"/>
      <c r="ED76" s="91"/>
      <c r="EE76" s="91"/>
      <c r="EF76" s="91"/>
      <c r="EG76" s="91"/>
      <c r="EH76" s="91"/>
      <c r="EI76" s="91"/>
      <c r="EJ76" s="91"/>
      <c r="EK76" s="91"/>
      <c r="EL76" s="91"/>
      <c r="EM76" s="91"/>
      <c r="EN76" s="91"/>
      <c r="EO76" s="91"/>
      <c r="EP76" s="91"/>
      <c r="EQ76" s="91"/>
      <c r="ER76" s="91"/>
    </row>
    <row r="77" spans="130:148" x14ac:dyDescent="0.25">
      <c r="DZ77" s="91"/>
      <c r="EA77" s="91"/>
      <c r="EB77" s="91"/>
      <c r="EC77" s="91"/>
      <c r="ED77" s="91"/>
      <c r="EE77" s="91"/>
      <c r="EF77" s="91"/>
      <c r="EG77" s="91"/>
      <c r="EH77" s="91"/>
      <c r="EI77" s="91"/>
      <c r="EJ77" s="91"/>
      <c r="EK77" s="91"/>
      <c r="EL77" s="91"/>
      <c r="EM77" s="91"/>
      <c r="EN77" s="91"/>
      <c r="EO77" s="91"/>
      <c r="EP77" s="91"/>
      <c r="EQ77" s="91"/>
      <c r="ER77" s="91"/>
    </row>
    <row r="78" spans="130:148" x14ac:dyDescent="0.25">
      <c r="DZ78" s="91"/>
      <c r="EA78" s="91"/>
      <c r="EB78" s="91"/>
      <c r="EC78" s="91"/>
      <c r="ED78" s="91"/>
      <c r="EE78" s="91"/>
      <c r="EF78" s="91"/>
      <c r="EG78" s="91"/>
      <c r="EH78" s="91"/>
      <c r="EI78" s="91"/>
      <c r="EJ78" s="91"/>
      <c r="EK78" s="91"/>
      <c r="EL78" s="91"/>
      <c r="EM78" s="91"/>
      <c r="EN78" s="91"/>
      <c r="EO78" s="91"/>
      <c r="EP78" s="91"/>
      <c r="EQ78" s="91"/>
      <c r="ER78" s="91"/>
    </row>
    <row r="79" spans="130:148" x14ac:dyDescent="0.25">
      <c r="DZ79" s="91"/>
      <c r="EA79" s="91"/>
      <c r="EB79" s="91"/>
      <c r="EC79" s="91"/>
      <c r="ED79" s="91"/>
      <c r="EE79" s="91"/>
      <c r="EF79" s="91"/>
      <c r="EG79" s="91"/>
      <c r="EH79" s="91"/>
      <c r="EI79" s="91"/>
      <c r="EJ79" s="91"/>
      <c r="EK79" s="91"/>
      <c r="EL79" s="91"/>
      <c r="EM79" s="91"/>
      <c r="EN79" s="91"/>
      <c r="EO79" s="91"/>
      <c r="EP79" s="91"/>
      <c r="EQ79" s="91"/>
      <c r="ER79" s="91"/>
    </row>
    <row r="80" spans="130:148" x14ac:dyDescent="0.25">
      <c r="DZ80" s="91"/>
      <c r="EA80" s="91"/>
      <c r="EB80" s="91"/>
      <c r="EC80" s="91"/>
      <c r="ED80" s="91"/>
      <c r="EE80" s="91"/>
      <c r="EF80" s="91"/>
      <c r="EG80" s="91"/>
      <c r="EH80" s="91"/>
      <c r="EI80" s="91"/>
      <c r="EJ80" s="91"/>
      <c r="EK80" s="91"/>
      <c r="EL80" s="91"/>
      <c r="EM80" s="91"/>
      <c r="EN80" s="91"/>
      <c r="EO80" s="91"/>
      <c r="EP80" s="91"/>
      <c r="EQ80" s="91"/>
      <c r="ER80" s="91"/>
    </row>
    <row r="81" spans="130:148" x14ac:dyDescent="0.25">
      <c r="DZ81" s="91"/>
      <c r="EA81" s="91"/>
      <c r="EB81" s="91"/>
      <c r="EC81" s="91"/>
      <c r="ED81" s="91"/>
      <c r="EE81" s="91"/>
      <c r="EF81" s="91"/>
      <c r="EG81" s="91"/>
      <c r="EH81" s="91"/>
      <c r="EI81" s="91"/>
      <c r="EJ81" s="91"/>
      <c r="EK81" s="91"/>
      <c r="EL81" s="91"/>
      <c r="EM81" s="91"/>
      <c r="EN81" s="91"/>
      <c r="EO81" s="91"/>
      <c r="EP81" s="91"/>
      <c r="EQ81" s="91"/>
      <c r="ER81" s="91"/>
    </row>
    <row r="82" spans="130:148" x14ac:dyDescent="0.25">
      <c r="DZ82" s="91"/>
      <c r="EA82" s="91"/>
      <c r="EB82" s="91"/>
      <c r="EC82" s="91"/>
      <c r="ED82" s="91"/>
      <c r="EE82" s="91"/>
      <c r="EF82" s="91"/>
      <c r="EG82" s="91"/>
      <c r="EH82" s="91"/>
      <c r="EI82" s="91"/>
      <c r="EJ82" s="91"/>
      <c r="EK82" s="91"/>
      <c r="EL82" s="91"/>
      <c r="EM82" s="91"/>
      <c r="EN82" s="91"/>
      <c r="EO82" s="91"/>
      <c r="EP82" s="91"/>
      <c r="EQ82" s="91"/>
      <c r="ER82" s="91"/>
    </row>
    <row r="83" spans="130:148" x14ac:dyDescent="0.25">
      <c r="DZ83" s="91"/>
      <c r="EA83" s="91"/>
      <c r="EB83" s="91"/>
      <c r="EC83" s="91"/>
      <c r="ED83" s="91"/>
      <c r="EE83" s="91"/>
      <c r="EF83" s="91"/>
      <c r="EG83" s="91"/>
      <c r="EH83" s="91"/>
      <c r="EI83" s="91"/>
      <c r="EJ83" s="91"/>
      <c r="EK83" s="91"/>
      <c r="EL83" s="91"/>
      <c r="EM83" s="91"/>
      <c r="EN83" s="91"/>
      <c r="EO83" s="91"/>
      <c r="EP83" s="91"/>
      <c r="EQ83" s="91"/>
      <c r="ER83" s="91"/>
    </row>
    <row r="84" spans="130:148" x14ac:dyDescent="0.25">
      <c r="DZ84" s="91"/>
      <c r="EA84" s="91"/>
      <c r="EB84" s="91"/>
      <c r="EC84" s="91"/>
      <c r="ED84" s="91"/>
      <c r="EE84" s="91"/>
      <c r="EF84" s="91"/>
      <c r="EG84" s="91"/>
      <c r="EH84" s="91"/>
      <c r="EI84" s="91"/>
      <c r="EJ84" s="91"/>
      <c r="EK84" s="91"/>
      <c r="EL84" s="91"/>
      <c r="EM84" s="91"/>
      <c r="EN84" s="91"/>
      <c r="EO84" s="91"/>
      <c r="EP84" s="91"/>
      <c r="EQ84" s="91"/>
      <c r="ER84" s="91"/>
    </row>
    <row r="85" spans="130:148" x14ac:dyDescent="0.25">
      <c r="DZ85" s="91"/>
      <c r="EA85" s="91"/>
      <c r="EB85" s="91"/>
      <c r="EC85" s="91"/>
      <c r="ED85" s="91"/>
      <c r="EE85" s="91"/>
      <c r="EF85" s="91"/>
      <c r="EG85" s="91"/>
      <c r="EH85" s="91"/>
      <c r="EI85" s="91"/>
      <c r="EJ85" s="91"/>
      <c r="EK85" s="91"/>
      <c r="EL85" s="91"/>
      <c r="EM85" s="91"/>
      <c r="EN85" s="91"/>
      <c r="EO85" s="91"/>
      <c r="EP85" s="91"/>
      <c r="EQ85" s="91"/>
      <c r="ER85" s="91"/>
    </row>
    <row r="86" spans="130:148" x14ac:dyDescent="0.25">
      <c r="DZ86" s="91"/>
      <c r="EA86" s="91"/>
      <c r="EB86" s="91"/>
      <c r="EC86" s="91"/>
      <c r="ED86" s="91"/>
      <c r="EE86" s="91"/>
      <c r="EF86" s="91"/>
      <c r="EG86" s="91"/>
      <c r="EH86" s="91"/>
      <c r="EI86" s="91"/>
      <c r="EJ86" s="91"/>
      <c r="EK86" s="91"/>
      <c r="EL86" s="91"/>
      <c r="EM86" s="91"/>
      <c r="EN86" s="91"/>
      <c r="EO86" s="91"/>
      <c r="EP86" s="91"/>
      <c r="EQ86" s="91"/>
      <c r="ER86" s="91"/>
    </row>
    <row r="87" spans="130:148" x14ac:dyDescent="0.25">
      <c r="DZ87" s="91"/>
      <c r="EA87" s="91"/>
      <c r="EB87" s="91"/>
      <c r="EC87" s="91"/>
      <c r="ED87" s="91"/>
      <c r="EE87" s="91"/>
      <c r="EF87" s="91"/>
      <c r="EG87" s="91"/>
      <c r="EH87" s="91"/>
      <c r="EI87" s="91"/>
      <c r="EJ87" s="91"/>
      <c r="EK87" s="91"/>
      <c r="EL87" s="91"/>
      <c r="EM87" s="91"/>
      <c r="EN87" s="91"/>
      <c r="EO87" s="91"/>
      <c r="EP87" s="91"/>
      <c r="EQ87" s="91"/>
      <c r="ER87" s="91"/>
    </row>
    <row r="88" spans="130:148" x14ac:dyDescent="0.25">
      <c r="DZ88" s="91"/>
      <c r="EA88" s="91"/>
      <c r="EB88" s="91"/>
      <c r="EC88" s="91"/>
      <c r="ED88" s="91"/>
      <c r="EE88" s="91"/>
      <c r="EF88" s="91"/>
      <c r="EG88" s="91"/>
      <c r="EH88" s="91"/>
      <c r="EI88" s="91"/>
      <c r="EJ88" s="91"/>
      <c r="EK88" s="91"/>
      <c r="EL88" s="91"/>
      <c r="EM88" s="91"/>
      <c r="EN88" s="91"/>
      <c r="EO88" s="91"/>
      <c r="EP88" s="91"/>
      <c r="EQ88" s="91"/>
      <c r="ER88" s="91"/>
    </row>
    <row r="89" spans="130:148" x14ac:dyDescent="0.25">
      <c r="DZ89" s="91"/>
      <c r="EA89" s="91"/>
      <c r="EB89" s="91"/>
      <c r="EC89" s="91"/>
      <c r="ED89" s="91"/>
      <c r="EE89" s="91"/>
      <c r="EF89" s="91"/>
      <c r="EG89" s="91"/>
      <c r="EH89" s="91"/>
      <c r="EI89" s="91"/>
      <c r="EJ89" s="91"/>
      <c r="EK89" s="91"/>
      <c r="EL89" s="91"/>
      <c r="EM89" s="91"/>
      <c r="EN89" s="91"/>
      <c r="EO89" s="91"/>
      <c r="EP89" s="91"/>
      <c r="EQ89" s="91"/>
      <c r="ER89" s="91"/>
    </row>
    <row r="90" spans="130:148" x14ac:dyDescent="0.25">
      <c r="DZ90" s="91"/>
      <c r="EA90" s="91"/>
      <c r="EB90" s="91"/>
      <c r="EC90" s="91"/>
      <c r="ED90" s="91"/>
      <c r="EE90" s="91"/>
      <c r="EF90" s="91"/>
      <c r="EG90" s="91"/>
      <c r="EH90" s="91"/>
      <c r="EI90" s="91"/>
      <c r="EJ90" s="91"/>
      <c r="EK90" s="91"/>
      <c r="EL90" s="91"/>
      <c r="EM90" s="91"/>
      <c r="EN90" s="91"/>
      <c r="EO90" s="91"/>
      <c r="EP90" s="91"/>
      <c r="EQ90" s="91"/>
      <c r="ER90" s="91"/>
    </row>
    <row r="91" spans="130:148" x14ac:dyDescent="0.25">
      <c r="DZ91" s="91"/>
      <c r="EA91" s="91"/>
      <c r="EB91" s="91"/>
      <c r="EC91" s="91"/>
      <c r="ED91" s="91"/>
      <c r="EE91" s="91"/>
      <c r="EF91" s="91"/>
      <c r="EG91" s="91"/>
      <c r="EH91" s="91"/>
      <c r="EI91" s="91"/>
      <c r="EJ91" s="91"/>
      <c r="EK91" s="91"/>
      <c r="EL91" s="91"/>
      <c r="EM91" s="91"/>
      <c r="EN91" s="91"/>
      <c r="EO91" s="91"/>
      <c r="EP91" s="91"/>
      <c r="EQ91" s="91"/>
      <c r="ER91" s="91"/>
    </row>
    <row r="92" spans="130:148" x14ac:dyDescent="0.25">
      <c r="DZ92" s="91"/>
      <c r="EA92" s="91"/>
      <c r="EB92" s="91"/>
      <c r="EC92" s="91"/>
      <c r="ED92" s="91"/>
      <c r="EE92" s="91"/>
      <c r="EF92" s="91"/>
      <c r="EG92" s="91"/>
      <c r="EH92" s="91"/>
      <c r="EI92" s="91"/>
      <c r="EJ92" s="91"/>
      <c r="EK92" s="91"/>
      <c r="EL92" s="91"/>
      <c r="EM92" s="91"/>
      <c r="EN92" s="91"/>
      <c r="EO92" s="91"/>
      <c r="EP92" s="91"/>
      <c r="EQ92" s="91"/>
      <c r="ER92" s="91"/>
    </row>
    <row r="93" spans="130:148" x14ac:dyDescent="0.25">
      <c r="DZ93" s="91"/>
      <c r="EA93" s="91"/>
      <c r="EB93" s="91"/>
      <c r="EC93" s="91"/>
      <c r="ED93" s="91"/>
      <c r="EE93" s="91"/>
      <c r="EF93" s="91"/>
      <c r="EG93" s="91"/>
      <c r="EH93" s="91"/>
      <c r="EI93" s="91"/>
      <c r="EJ93" s="91"/>
      <c r="EK93" s="91"/>
      <c r="EL93" s="91"/>
      <c r="EM93" s="91"/>
      <c r="EN93" s="91"/>
      <c r="EO93" s="91"/>
      <c r="EP93" s="91"/>
      <c r="EQ93" s="91"/>
      <c r="ER93" s="91"/>
    </row>
    <row r="94" spans="130:148" x14ac:dyDescent="0.25">
      <c r="DZ94" s="91"/>
      <c r="EA94" s="91"/>
      <c r="EB94" s="91"/>
      <c r="EC94" s="91"/>
      <c r="ED94" s="91"/>
      <c r="EE94" s="91"/>
      <c r="EF94" s="91"/>
      <c r="EG94" s="91"/>
      <c r="EH94" s="91"/>
      <c r="EI94" s="91"/>
      <c r="EJ94" s="91"/>
      <c r="EK94" s="91"/>
      <c r="EL94" s="91"/>
      <c r="EM94" s="91"/>
      <c r="EN94" s="91"/>
      <c r="EO94" s="91"/>
      <c r="EP94" s="91"/>
      <c r="EQ94" s="91"/>
      <c r="ER94" s="91"/>
    </row>
    <row r="95" spans="130:148" x14ac:dyDescent="0.25">
      <c r="DZ95" s="91"/>
      <c r="EA95" s="91"/>
      <c r="EB95" s="91"/>
      <c r="EC95" s="91"/>
      <c r="ED95" s="91"/>
      <c r="EE95" s="91"/>
      <c r="EF95" s="91"/>
      <c r="EG95" s="91"/>
      <c r="EH95" s="91"/>
      <c r="EI95" s="91"/>
      <c r="EJ95" s="91"/>
      <c r="EK95" s="91"/>
      <c r="EL95" s="91"/>
      <c r="EM95" s="91"/>
      <c r="EN95" s="91"/>
      <c r="EO95" s="91"/>
      <c r="EP95" s="91"/>
      <c r="EQ95" s="91"/>
      <c r="ER95" s="91"/>
    </row>
    <row r="96" spans="130:148" x14ac:dyDescent="0.25">
      <c r="DZ96" s="91"/>
      <c r="EA96" s="91"/>
      <c r="EB96" s="91"/>
      <c r="EC96" s="91"/>
      <c r="ED96" s="91"/>
      <c r="EE96" s="91"/>
      <c r="EF96" s="91"/>
      <c r="EG96" s="91"/>
      <c r="EH96" s="91"/>
      <c r="EI96" s="91"/>
      <c r="EJ96" s="91"/>
      <c r="EK96" s="91"/>
      <c r="EL96" s="91"/>
      <c r="EM96" s="91"/>
      <c r="EN96" s="91"/>
      <c r="EO96" s="91"/>
      <c r="EP96" s="91"/>
      <c r="EQ96" s="91"/>
      <c r="ER96" s="91"/>
    </row>
    <row r="97" spans="130:148" x14ac:dyDescent="0.25">
      <c r="DZ97" s="91"/>
      <c r="EA97" s="91"/>
      <c r="EB97" s="91"/>
      <c r="EC97" s="91"/>
      <c r="ED97" s="91"/>
      <c r="EE97" s="91"/>
      <c r="EF97" s="91"/>
      <c r="EG97" s="91"/>
      <c r="EH97" s="91"/>
      <c r="EI97" s="91"/>
      <c r="EJ97" s="91"/>
      <c r="EK97" s="91"/>
      <c r="EL97" s="91"/>
      <c r="EM97" s="91"/>
      <c r="EN97" s="91"/>
      <c r="EO97" s="91"/>
      <c r="EP97" s="91"/>
      <c r="EQ97" s="91"/>
      <c r="ER97" s="91"/>
    </row>
    <row r="98" spans="130:148" x14ac:dyDescent="0.25">
      <c r="DZ98" s="91"/>
      <c r="EA98" s="91"/>
      <c r="EB98" s="91"/>
      <c r="EC98" s="91"/>
      <c r="ED98" s="91"/>
      <c r="EE98" s="91"/>
      <c r="EF98" s="91"/>
      <c r="EG98" s="91"/>
      <c r="EH98" s="91"/>
      <c r="EI98" s="91"/>
      <c r="EJ98" s="91"/>
      <c r="EK98" s="91"/>
      <c r="EL98" s="91"/>
      <c r="EM98" s="91"/>
      <c r="EN98" s="91"/>
      <c r="EO98" s="91"/>
      <c r="EP98" s="91"/>
      <c r="EQ98" s="91"/>
      <c r="ER98" s="91"/>
    </row>
    <row r="99" spans="130:148" x14ac:dyDescent="0.25">
      <c r="DZ99" s="91"/>
      <c r="EA99" s="91"/>
      <c r="EB99" s="91"/>
      <c r="EC99" s="91"/>
      <c r="ED99" s="91"/>
      <c r="EE99" s="91"/>
      <c r="EF99" s="91"/>
      <c r="EG99" s="91"/>
      <c r="EH99" s="91"/>
      <c r="EI99" s="91"/>
      <c r="EJ99" s="91"/>
      <c r="EK99" s="91"/>
      <c r="EL99" s="91"/>
      <c r="EM99" s="91"/>
      <c r="EN99" s="91"/>
      <c r="EO99" s="91"/>
      <c r="EP99" s="91"/>
      <c r="EQ99" s="91"/>
      <c r="ER99" s="91"/>
    </row>
    <row r="100" spans="130:148" x14ac:dyDescent="0.25">
      <c r="DZ100" s="91"/>
      <c r="EA100" s="91"/>
      <c r="EB100" s="91"/>
      <c r="EC100" s="91"/>
      <c r="ED100" s="91"/>
      <c r="EE100" s="91"/>
      <c r="EF100" s="91"/>
      <c r="EG100" s="91"/>
      <c r="EH100" s="91"/>
      <c r="EI100" s="91"/>
      <c r="EJ100" s="91"/>
      <c r="EK100" s="91"/>
      <c r="EL100" s="91"/>
      <c r="EM100" s="91"/>
      <c r="EN100" s="91"/>
      <c r="EO100" s="91"/>
      <c r="EP100" s="91"/>
      <c r="EQ100" s="91"/>
      <c r="ER100" s="91"/>
    </row>
    <row r="101" spans="130:148" x14ac:dyDescent="0.25">
      <c r="DZ101" s="91"/>
      <c r="EA101" s="91"/>
      <c r="EB101" s="91"/>
      <c r="EC101" s="91"/>
      <c r="ED101" s="91"/>
      <c r="EE101" s="91"/>
      <c r="EF101" s="91"/>
      <c r="EG101" s="91"/>
      <c r="EH101" s="91"/>
      <c r="EI101" s="91"/>
      <c r="EJ101" s="91"/>
      <c r="EK101" s="91"/>
      <c r="EL101" s="91"/>
      <c r="EM101" s="91"/>
      <c r="EN101" s="91"/>
      <c r="EO101" s="91"/>
      <c r="EP101" s="91"/>
      <c r="EQ101" s="91"/>
      <c r="ER101" s="91"/>
    </row>
    <row r="102" spans="130:148" x14ac:dyDescent="0.25">
      <c r="DZ102" s="91"/>
      <c r="EA102" s="91"/>
      <c r="EB102" s="91"/>
      <c r="EC102" s="91"/>
      <c r="ED102" s="91"/>
      <c r="EE102" s="91"/>
      <c r="EF102" s="91"/>
      <c r="EG102" s="91"/>
      <c r="EH102" s="91"/>
      <c r="EI102" s="91"/>
      <c r="EJ102" s="91"/>
      <c r="EK102" s="91"/>
      <c r="EL102" s="91"/>
      <c r="EM102" s="91"/>
      <c r="EN102" s="91"/>
      <c r="EO102" s="91"/>
      <c r="EP102" s="91"/>
      <c r="EQ102" s="91"/>
      <c r="ER102" s="91"/>
    </row>
    <row r="103" spans="130:148" x14ac:dyDescent="0.25">
      <c r="DZ103" s="91"/>
      <c r="EA103" s="91"/>
      <c r="EB103" s="91"/>
      <c r="EC103" s="91"/>
      <c r="ED103" s="91"/>
      <c r="EE103" s="91"/>
      <c r="EF103" s="91"/>
      <c r="EG103" s="91"/>
      <c r="EH103" s="91"/>
      <c r="EI103" s="91"/>
      <c r="EJ103" s="91"/>
      <c r="EK103" s="91"/>
      <c r="EL103" s="91"/>
      <c r="EM103" s="91"/>
      <c r="EN103" s="91"/>
      <c r="EO103" s="91"/>
      <c r="EP103" s="91"/>
      <c r="EQ103" s="91"/>
      <c r="ER103" s="91"/>
    </row>
  </sheetData>
  <sheetProtection algorithmName="SHA-512" hashValue="lYKMTcUxGAUfD5Oa+040XNbKsOk2XGU2mMI6+MRzHuBSFY3JUWkf/qYRyfPeSEMlYJn96S76V+XuD/IM+PXwEQ==" saltValue="BABm2uilaA+9qWFdA9YXjQ==" spinCount="100000" sheet="1" objects="1" scenarios="1"/>
  <mergeCells count="132">
    <mergeCell ref="DP3:DU4"/>
    <mergeCell ref="DX3:DX4"/>
    <mergeCell ref="AP4:AQ4"/>
    <mergeCell ref="X3:Y3"/>
    <mergeCell ref="Z3:AA3"/>
    <mergeCell ref="AB3:AC3"/>
    <mergeCell ref="AD3:AE3"/>
    <mergeCell ref="AF3:AG3"/>
    <mergeCell ref="AR3:AS3"/>
    <mergeCell ref="AT3:AU3"/>
    <mergeCell ref="AV3:AW3"/>
    <mergeCell ref="AV4:AW4"/>
    <mergeCell ref="AR4:AS4"/>
    <mergeCell ref="AT4:AU4"/>
    <mergeCell ref="CN4:CO4"/>
    <mergeCell ref="CP4:CQ4"/>
    <mergeCell ref="BV3:BW3"/>
    <mergeCell ref="BX3:BY3"/>
    <mergeCell ref="BZ3:CA3"/>
    <mergeCell ref="BB3:BC3"/>
    <mergeCell ref="BD3:BE3"/>
    <mergeCell ref="BF3:BG3"/>
    <mergeCell ref="BT4:BU4"/>
    <mergeCell ref="CF4:CG4"/>
    <mergeCell ref="S1:S4"/>
    <mergeCell ref="T1:AM1"/>
    <mergeCell ref="T2:AC2"/>
    <mergeCell ref="AD2:AM2"/>
    <mergeCell ref="X4:Y4"/>
    <mergeCell ref="BH2:BQ2"/>
    <mergeCell ref="P3:P4"/>
    <mergeCell ref="Z4:AA4"/>
    <mergeCell ref="AB4:AC4"/>
    <mergeCell ref="AD4:AE4"/>
    <mergeCell ref="Q3:Q4"/>
    <mergeCell ref="R3:R4"/>
    <mergeCell ref="T4:U4"/>
    <mergeCell ref="V4:W4"/>
    <mergeCell ref="T3:U3"/>
    <mergeCell ref="V3:W3"/>
    <mergeCell ref="BF4:BG4"/>
    <mergeCell ref="BH4:BI4"/>
    <mergeCell ref="BJ4:BK4"/>
    <mergeCell ref="AF4:AG4"/>
    <mergeCell ref="AH4:AI4"/>
    <mergeCell ref="AJ4:AK4"/>
    <mergeCell ref="AL4:AM4"/>
    <mergeCell ref="AN4:AO4"/>
    <mergeCell ref="M1:M4"/>
    <mergeCell ref="A1:A2"/>
    <mergeCell ref="B1:B2"/>
    <mergeCell ref="C1:J2"/>
    <mergeCell ref="K1:K4"/>
    <mergeCell ref="L1:L4"/>
    <mergeCell ref="N1:N4"/>
    <mergeCell ref="O1:O4"/>
    <mergeCell ref="P1:R2"/>
    <mergeCell ref="AZ4:BA4"/>
    <mergeCell ref="BB4:BC4"/>
    <mergeCell ref="BD4:BE4"/>
    <mergeCell ref="BL4:BM4"/>
    <mergeCell ref="BX4:BY4"/>
    <mergeCell ref="BZ4:CA4"/>
    <mergeCell ref="BN4:BO4"/>
    <mergeCell ref="AX3:AY3"/>
    <mergeCell ref="BH3:BI3"/>
    <mergeCell ref="BJ3:BK3"/>
    <mergeCell ref="BP4:BQ4"/>
    <mergeCell ref="BR4:BS4"/>
    <mergeCell ref="BV4:BW4"/>
    <mergeCell ref="AN1:BG1"/>
    <mergeCell ref="AN2:AW2"/>
    <mergeCell ref="AX2:BG2"/>
    <mergeCell ref="BR2:CA2"/>
    <mergeCell ref="CB2:CK2"/>
    <mergeCell ref="CL2:CU2"/>
    <mergeCell ref="BH1:CA1"/>
    <mergeCell ref="AP3:AQ3"/>
    <mergeCell ref="CF3:CG3"/>
    <mergeCell ref="CH3:CI3"/>
    <mergeCell ref="CJ3:CK3"/>
    <mergeCell ref="BL3:BM3"/>
    <mergeCell ref="BN3:BO3"/>
    <mergeCell ref="BP3:BQ3"/>
    <mergeCell ref="BR3:BS3"/>
    <mergeCell ref="BT3:BU3"/>
    <mergeCell ref="AZ3:BA3"/>
    <mergeCell ref="AH3:AI3"/>
    <mergeCell ref="AJ3:AK3"/>
    <mergeCell ref="AL3:AM3"/>
    <mergeCell ref="AN3:AO3"/>
    <mergeCell ref="CV3:CV4"/>
    <mergeCell ref="DF3:DF4"/>
    <mergeCell ref="CR4:CS4"/>
    <mergeCell ref="CB3:CC3"/>
    <mergeCell ref="CD3:CE3"/>
    <mergeCell ref="CJ4:CK4"/>
    <mergeCell ref="CL4:CM4"/>
    <mergeCell ref="CY3:CY4"/>
    <mergeCell ref="CZ3:CZ4"/>
    <mergeCell ref="DA3:DA4"/>
    <mergeCell ref="DB3:DB4"/>
    <mergeCell ref="DD3:DD4"/>
    <mergeCell ref="DE3:DE4"/>
    <mergeCell ref="DC3:DC4"/>
    <mergeCell ref="CW3:CW4"/>
    <mergeCell ref="CX3:CX4"/>
    <mergeCell ref="CB4:CC4"/>
    <mergeCell ref="CD4:CE4"/>
    <mergeCell ref="AX4:AY4"/>
    <mergeCell ref="CH4:CI4"/>
    <mergeCell ref="CV1:CX2"/>
    <mergeCell ref="CY1:CY2"/>
    <mergeCell ref="CZ1:DG2"/>
    <mergeCell ref="DH1:DK2"/>
    <mergeCell ref="DG3:DG4"/>
    <mergeCell ref="CB1:CU1"/>
    <mergeCell ref="DL1:DO2"/>
    <mergeCell ref="CL3:CM3"/>
    <mergeCell ref="CN3:CO3"/>
    <mergeCell ref="CP3:CQ3"/>
    <mergeCell ref="CR3:CS3"/>
    <mergeCell ref="CT3:CU3"/>
    <mergeCell ref="DO3:DO4"/>
    <mergeCell ref="DI3:DI4"/>
    <mergeCell ref="DJ3:DJ4"/>
    <mergeCell ref="DK3:DK4"/>
    <mergeCell ref="DL3:DL4"/>
    <mergeCell ref="DM3:DM4"/>
    <mergeCell ref="DN3:DN4"/>
    <mergeCell ref="CT4:CU4"/>
    <mergeCell ref="DH3:DH4"/>
  </mergeCells>
  <conditionalFormatting sqref="A5">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5</vt:i4>
      </vt:variant>
      <vt:variant>
        <vt:lpstr>النطاقات المسماة</vt:lpstr>
      </vt:variant>
      <vt:variant>
        <vt:i4>1</vt:i4>
      </vt:variant>
    </vt:vector>
  </HeadingPairs>
  <TitlesOfParts>
    <vt:vector size="6" baseType="lpstr">
      <vt:lpstr>تعليمات التسجيل</vt:lpstr>
      <vt:lpstr>إدخال البيانات</vt:lpstr>
      <vt:lpstr>اختيار المقررات</vt:lpstr>
      <vt:lpstr>الإستمارة</vt:lpstr>
      <vt:lpstr>med</vt:lpstr>
      <vt:lpstr>الإستمارة!Print_Area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lenovo-lap</cp:lastModifiedBy>
  <cp:revision/>
  <cp:lastPrinted>2024-05-19T09:20:50Z</cp:lastPrinted>
  <dcterms:created xsi:type="dcterms:W3CDTF">2015-06-05T18:17:20Z</dcterms:created>
  <dcterms:modified xsi:type="dcterms:W3CDTF">2025-03-12T06:55:21Z</dcterms:modified>
</cp:coreProperties>
</file>