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-lap\Desktop\قدامى ف1 2024-2025\استمارات طلاب الثورة\"/>
    </mc:Choice>
  </mc:AlternateContent>
  <xr:revisionPtr revIDLastSave="0" documentId="13_ncr:1_{D86A3E29-AA2B-46A5-802C-D2884AEE4576}" xr6:coauthVersionLast="47" xr6:coauthVersionMax="47" xr10:uidLastSave="{00000000-0000-0000-0000-000000000000}"/>
  <workbookProtection workbookAlgorithmName="SHA-512" workbookHashValue="VdjG0Ih5eMgVW+MWTKIFh6RBjna02LtszkJPvHfqGSWpNquEc2xsBAdVjeXxGpy6rDDMcNUOFppye+JyUdVj5Q==" workbookSaltValue="ENdUzjOreda/UamvwXpinQ==" workbookSpinCount="100000" lockStructure="1"/>
  <bookViews>
    <workbookView xWindow="-108" yWindow="-108" windowWidth="23256" windowHeight="12576" xr2:uid="{00000000-000D-0000-FFFF-FFFF00000000}"/>
  </bookViews>
  <sheets>
    <sheet name="تعليمات التسجيل" sheetId="16" r:id="rId1"/>
    <sheet name="إدخال البيانات" sheetId="17" r:id="rId2"/>
    <sheet name="اختيار المقررات" sheetId="5" r:id="rId3"/>
    <sheet name="الإستمارة" sheetId="11" r:id="rId4"/>
    <sheet name="kin" sheetId="15" r:id="rId5"/>
  </sheets>
  <definedNames>
    <definedName name="_xlnm._FilterDatabase" localSheetId="1" hidden="1">'إدخال البيانات'!$I$4:$I$19</definedName>
    <definedName name="_xlnm.Print_Area" localSheetId="3">الإستمارة!$A$1:$R$42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7" l="1"/>
  <c r="AE3" i="5"/>
  <c r="W4" i="5"/>
  <c r="Q4" i="5"/>
  <c r="L4" i="5"/>
  <c r="E4" i="5"/>
  <c r="L3" i="5"/>
  <c r="E3" i="5"/>
  <c r="AB2" i="5"/>
  <c r="W2" i="5"/>
  <c r="Q2" i="5"/>
  <c r="H2" i="5"/>
  <c r="E2" i="5"/>
  <c r="AE1" i="5"/>
  <c r="AB1" i="5"/>
  <c r="W1" i="5"/>
  <c r="Q1" i="5"/>
  <c r="L1" i="5"/>
  <c r="E1" i="5"/>
  <c r="C38" i="5"/>
  <c r="F8" i="17" l="1"/>
  <c r="E8" i="17"/>
  <c r="D8" i="17"/>
  <c r="C8" i="17"/>
  <c r="G11" i="17" l="1"/>
  <c r="F11" i="17"/>
  <c r="E11" i="17"/>
  <c r="D11" i="17"/>
  <c r="C11" i="17"/>
  <c r="B11" i="17"/>
  <c r="A11" i="17"/>
  <c r="B8" i="17"/>
  <c r="A8" i="17"/>
  <c r="AE4" i="5" l="1"/>
  <c r="AB4" i="5"/>
  <c r="N4" i="11"/>
  <c r="F3" i="11"/>
  <c r="J3" i="11"/>
  <c r="N3" i="11"/>
  <c r="B20" i="11" l="1"/>
  <c r="Z28" i="5" l="1"/>
  <c r="EK5" i="15" l="1"/>
  <c r="AB3" i="5" l="1"/>
  <c r="W3" i="5"/>
  <c r="Q3" i="5"/>
  <c r="DS5" i="15"/>
  <c r="DM5" i="15"/>
  <c r="J25" i="11"/>
  <c r="E22" i="11"/>
  <c r="G39" i="11"/>
  <c r="AE22" i="11"/>
  <c r="B1" i="11"/>
  <c r="K7" i="11"/>
  <c r="Z22" i="11" s="1"/>
  <c r="Y22" i="11" s="1"/>
  <c r="H7" i="11"/>
  <c r="Z21" i="11" s="1"/>
  <c r="Y21" i="11" s="1"/>
  <c r="D7" i="11"/>
  <c r="Z20" i="11" s="1"/>
  <c r="Y20" i="11" s="1"/>
  <c r="Z6" i="11"/>
  <c r="Y6" i="11" s="1"/>
  <c r="Z7" i="11"/>
  <c r="Y7" i="11" s="1"/>
  <c r="Z11" i="11"/>
  <c r="Y11" i="11" s="1"/>
  <c r="C50" i="5"/>
  <c r="Z5" i="11"/>
  <c r="Y5" i="11" s="1"/>
  <c r="AY49" i="5" l="1"/>
  <c r="AY47" i="5"/>
  <c r="AY45" i="5"/>
  <c r="AY43" i="5"/>
  <c r="AY41" i="5"/>
  <c r="AY39" i="5"/>
  <c r="AY35" i="5"/>
  <c r="AY30" i="5"/>
  <c r="AY26" i="5"/>
  <c r="K23" i="5"/>
  <c r="B22" i="5"/>
  <c r="K21" i="5"/>
  <c r="S20" i="5"/>
  <c r="AA19" i="5"/>
  <c r="AY18" i="5"/>
  <c r="B18" i="5"/>
  <c r="K17" i="5"/>
  <c r="AY14" i="5"/>
  <c r="B13" i="5"/>
  <c r="K12" i="5"/>
  <c r="S11" i="5"/>
  <c r="AA10" i="5"/>
  <c r="AY9" i="5"/>
  <c r="B9" i="5"/>
  <c r="K8" i="5"/>
  <c r="AY5" i="5"/>
  <c r="N27" i="5"/>
  <c r="AY48" i="5"/>
  <c r="AY52" i="5"/>
  <c r="C49" i="5"/>
  <c r="C47" i="5"/>
  <c r="C45" i="5"/>
  <c r="C43" i="5"/>
  <c r="C41" i="5"/>
  <c r="AY38" i="5"/>
  <c r="AY33" i="5"/>
  <c r="AY29" i="5"/>
  <c r="AY25" i="5"/>
  <c r="B23" i="5"/>
  <c r="AY21" i="5"/>
  <c r="B21" i="5"/>
  <c r="K20" i="5"/>
  <c r="S19" i="5"/>
  <c r="AA18" i="5"/>
  <c r="AY17" i="5"/>
  <c r="B17" i="5"/>
  <c r="AY13" i="5"/>
  <c r="AY12" i="5"/>
  <c r="B12" i="5"/>
  <c r="K11" i="5"/>
  <c r="S10" i="5"/>
  <c r="AA9" i="5"/>
  <c r="AY8" i="5"/>
  <c r="B8" i="5"/>
  <c r="AY50" i="5"/>
  <c r="C48" i="5"/>
  <c r="C46" i="5"/>
  <c r="C44" i="5"/>
  <c r="C42" i="5"/>
  <c r="C40" i="5"/>
  <c r="AY36" i="5"/>
  <c r="AY31" i="5"/>
  <c r="AY27" i="5"/>
  <c r="AY23" i="5"/>
  <c r="K22" i="5"/>
  <c r="S21" i="5"/>
  <c r="AA20" i="5"/>
  <c r="AY19" i="5"/>
  <c r="B19" i="5"/>
  <c r="K18" i="5"/>
  <c r="S17" i="5"/>
  <c r="AY15" i="5"/>
  <c r="S13" i="5"/>
  <c r="S12" i="5"/>
  <c r="AA11" i="5"/>
  <c r="AY10" i="5"/>
  <c r="B10" i="5"/>
  <c r="K9" i="5"/>
  <c r="S8" i="5"/>
  <c r="AY6" i="5"/>
  <c r="AY51" i="5"/>
  <c r="AY46" i="5"/>
  <c r="AY44" i="5"/>
  <c r="AY42" i="5"/>
  <c r="AY40" i="5"/>
  <c r="AY37" i="5"/>
  <c r="AY32" i="5"/>
  <c r="AY28" i="5"/>
  <c r="AY24" i="5"/>
  <c r="AY22" i="5"/>
  <c r="AA21" i="5"/>
  <c r="AY20" i="5"/>
  <c r="B20" i="5"/>
  <c r="K19" i="5"/>
  <c r="S18" i="5"/>
  <c r="AA17" i="5"/>
  <c r="AY16" i="5"/>
  <c r="AA13" i="5"/>
  <c r="AA12" i="5"/>
  <c r="AY11" i="5"/>
  <c r="B11" i="5"/>
  <c r="K10" i="5"/>
  <c r="S9" i="5"/>
  <c r="AA8" i="5"/>
  <c r="AY7" i="5"/>
  <c r="A5" i="15"/>
  <c r="BM5" i="15" s="1"/>
  <c r="H4" i="11"/>
  <c r="Z9" i="11" s="1"/>
  <c r="Y9" i="11" s="1"/>
  <c r="EC5" i="15"/>
  <c r="EA5" i="15"/>
  <c r="EB5" i="15"/>
  <c r="DZ5" i="15"/>
  <c r="D2" i="11"/>
  <c r="E34" i="11" s="1"/>
  <c r="E39" i="11" s="1"/>
  <c r="D4" i="11"/>
  <c r="B34" i="11" s="1"/>
  <c r="B39" i="11" s="1"/>
  <c r="H6" i="11"/>
  <c r="Z17" i="11" s="1"/>
  <c r="Y17" i="11" s="1"/>
  <c r="K6" i="11"/>
  <c r="Z18" i="11" s="1"/>
  <c r="Y18" i="11" s="1"/>
  <c r="K4" i="11"/>
  <c r="Z10" i="11" s="1"/>
  <c r="Y10" i="11" s="1"/>
  <c r="P6" i="11"/>
  <c r="Z19" i="11" s="1"/>
  <c r="Y19" i="11" s="1"/>
  <c r="D5" i="11"/>
  <c r="Z12" i="11" s="1"/>
  <c r="Y12" i="11" s="1"/>
  <c r="T6" i="5"/>
  <c r="B35" i="5" l="1"/>
  <c r="B31" i="5"/>
  <c r="B36" i="5"/>
  <c r="C36" i="5" s="1"/>
  <c r="B32" i="5"/>
  <c r="B28" i="5"/>
  <c r="C28" i="5" s="1"/>
  <c r="B34" i="5"/>
  <c r="C34" i="5" s="1"/>
  <c r="B30" i="5"/>
  <c r="B37" i="5"/>
  <c r="C37" i="5" s="1"/>
  <c r="B33" i="5"/>
  <c r="B29" i="5"/>
  <c r="C29" i="5" s="1"/>
  <c r="BE5" i="15"/>
  <c r="DE5" i="15"/>
  <c r="BC5" i="15"/>
  <c r="BK5" i="15"/>
  <c r="CI5" i="15"/>
  <c r="CO5" i="15"/>
  <c r="CK5" i="15"/>
  <c r="CQ5" i="15"/>
  <c r="AQ5" i="15"/>
  <c r="AW5" i="15"/>
  <c r="BO5" i="15"/>
  <c r="BW5" i="15"/>
  <c r="CC5" i="15"/>
  <c r="CU5" i="15"/>
  <c r="DC5" i="15"/>
  <c r="DI5" i="15"/>
  <c r="CG5" i="15"/>
  <c r="AS5" i="15"/>
  <c r="CE5" i="15"/>
  <c r="CW5" i="15"/>
  <c r="CY5" i="15"/>
  <c r="DA5" i="15"/>
  <c r="CM5" i="15"/>
  <c r="BY5" i="15"/>
  <c r="AU5" i="15"/>
  <c r="DG5" i="15"/>
  <c r="CS5" i="15"/>
  <c r="AY5" i="15"/>
  <c r="BQ5" i="15"/>
  <c r="BS5" i="15"/>
  <c r="BU5" i="15"/>
  <c r="BG5" i="15"/>
  <c r="BA5" i="15"/>
  <c r="BI5" i="15"/>
  <c r="CA5" i="15"/>
  <c r="H2" i="11"/>
  <c r="H33" i="11" s="1"/>
  <c r="H38" i="11" s="1"/>
  <c r="B5" i="15"/>
  <c r="M2" i="11"/>
  <c r="Z3" i="11" s="1"/>
  <c r="Y3" i="11" s="1"/>
  <c r="C5" i="15"/>
  <c r="P2" i="11"/>
  <c r="Z4" i="11" s="1"/>
  <c r="Y4" i="11" s="1"/>
  <c r="D5" i="15"/>
  <c r="DJ5" i="15"/>
  <c r="K22" i="11"/>
  <c r="N22" i="11"/>
  <c r="DK5" i="15"/>
  <c r="J23" i="11"/>
  <c r="DL5" i="15"/>
  <c r="D3" i="11"/>
  <c r="Z8" i="11"/>
  <c r="Y8" i="11" s="1"/>
  <c r="B6" i="5"/>
  <c r="DP5" i="15"/>
  <c r="J24" i="11"/>
  <c r="D6" i="11"/>
  <c r="Z16" i="11" s="1"/>
  <c r="Y16" i="11" s="1"/>
  <c r="P5" i="11"/>
  <c r="Z15" i="11" s="1"/>
  <c r="Y15" i="11" s="1"/>
  <c r="K5" i="11"/>
  <c r="Z14" i="11" s="1"/>
  <c r="Y14" i="11" s="1"/>
  <c r="H5" i="11"/>
  <c r="Z13" i="11" s="1"/>
  <c r="Y13" i="11" s="1"/>
  <c r="C32" i="5" l="1"/>
  <c r="B30" i="11" s="1"/>
  <c r="C33" i="5"/>
  <c r="EI5" i="15" s="1"/>
  <c r="C35" i="5"/>
  <c r="EJ5" i="15" s="1"/>
  <c r="C31" i="5"/>
  <c r="EG5" i="15" s="1"/>
  <c r="C30" i="5"/>
  <c r="B29" i="11" s="1"/>
  <c r="B28" i="11"/>
  <c r="G28" i="11"/>
  <c r="EE5" i="15"/>
  <c r="AA13" i="11"/>
  <c r="AE13" i="11" s="1"/>
  <c r="AA20" i="11"/>
  <c r="AE20" i="11" s="1"/>
  <c r="AA4" i="11"/>
  <c r="AE4" i="11" s="1"/>
  <c r="AA9" i="11"/>
  <c r="AE9" i="11" s="1"/>
  <c r="AA18" i="11"/>
  <c r="AE18" i="11" s="1"/>
  <c r="AA8" i="11"/>
  <c r="AE8" i="11" s="1"/>
  <c r="AA6" i="11"/>
  <c r="AE6" i="11" s="1"/>
  <c r="AA5" i="11"/>
  <c r="AE5" i="11" s="1"/>
  <c r="AA16" i="11"/>
  <c r="AE16" i="11" s="1"/>
  <c r="AA3" i="11"/>
  <c r="AA14" i="11"/>
  <c r="AE14" i="11" s="1"/>
  <c r="AA11" i="11"/>
  <c r="AE11" i="11" s="1"/>
  <c r="AA7" i="11"/>
  <c r="AE7" i="11" s="1"/>
  <c r="AA19" i="11"/>
  <c r="AE19" i="11" s="1"/>
  <c r="AA12" i="11"/>
  <c r="AE12" i="11" s="1"/>
  <c r="AA15" i="11"/>
  <c r="AE15" i="11" s="1"/>
  <c r="AA10" i="11"/>
  <c r="AE10" i="11" s="1"/>
  <c r="AA21" i="11"/>
  <c r="AE21" i="11" s="1"/>
  <c r="AA17" i="11"/>
  <c r="AE17" i="11" s="1"/>
  <c r="EH5" i="15" l="1"/>
  <c r="EF5" i="15"/>
  <c r="G29" i="11"/>
  <c r="G30" i="11"/>
  <c r="AJ1" i="11"/>
  <c r="AK4" i="5" s="1"/>
  <c r="ED5" i="15"/>
  <c r="AE3" i="11"/>
  <c r="AN3" i="15"/>
  <c r="AO5" i="15" s="1"/>
  <c r="AL3" i="15"/>
  <c r="AM5" i="15" s="1"/>
  <c r="AJ3" i="15"/>
  <c r="AK5" i="15" s="1"/>
  <c r="AH3" i="15"/>
  <c r="AI5" i="15" s="1"/>
  <c r="AF3" i="15"/>
  <c r="AG5" i="15" s="1"/>
  <c r="AD3" i="15"/>
  <c r="AE5" i="15" s="1"/>
  <c r="AB3" i="15"/>
  <c r="AC5" i="15" s="1"/>
  <c r="Z3" i="15"/>
  <c r="AA5" i="15" s="1"/>
  <c r="X3" i="15"/>
  <c r="Y5" i="15" s="1"/>
  <c r="V3" i="15"/>
  <c r="W5" i="15" s="1"/>
  <c r="T3" i="15"/>
  <c r="U5" i="15" s="1"/>
  <c r="AC1" i="11" l="1"/>
  <c r="B8" i="11" s="1"/>
  <c r="AX42" i="5"/>
  <c r="AX49" i="5"/>
  <c r="AX50" i="5"/>
  <c r="AX51" i="5"/>
  <c r="AX52" i="5"/>
  <c r="AX44" i="5"/>
  <c r="AX45" i="5"/>
  <c r="AX46" i="5"/>
  <c r="AX47" i="5"/>
  <c r="AX38" i="5"/>
  <c r="AX39" i="5"/>
  <c r="AX40" i="5"/>
  <c r="AX41" i="5"/>
  <c r="AX31" i="5"/>
  <c r="AX32" i="5"/>
  <c r="AX33" i="5"/>
  <c r="AX35" i="5"/>
  <c r="AX36" i="5"/>
  <c r="AX24" i="5"/>
  <c r="AX25" i="5"/>
  <c r="AX26" i="5"/>
  <c r="AX27" i="5"/>
  <c r="AX28" i="5"/>
  <c r="AX29" i="5"/>
  <c r="AX17" i="5"/>
  <c r="AX18" i="5"/>
  <c r="AX19" i="5"/>
  <c r="AX20" i="5"/>
  <c r="AX21" i="5"/>
  <c r="AX22" i="5"/>
  <c r="AX12" i="5"/>
  <c r="AX13" i="5"/>
  <c r="AX14" i="5"/>
  <c r="AX15" i="5"/>
  <c r="AX6" i="5"/>
  <c r="AX7" i="5"/>
  <c r="AX8" i="5"/>
  <c r="AX9" i="5"/>
  <c r="AX10" i="5"/>
  <c r="AX48" i="5"/>
  <c r="AX43" i="5"/>
  <c r="AX37" i="5"/>
  <c r="AX30" i="5"/>
  <c r="AX23" i="5"/>
  <c r="AX16" i="5"/>
  <c r="AX11" i="5"/>
  <c r="DN5" i="15" l="1"/>
  <c r="A23" i="5"/>
  <c r="AL25" i="5" s="1"/>
  <c r="Y15" i="5"/>
  <c r="X15" i="5"/>
  <c r="X24" i="5"/>
  <c r="Y24" i="5"/>
  <c r="AF15" i="5"/>
  <c r="AG15" i="5"/>
  <c r="W15" i="5"/>
  <c r="W24" i="5"/>
  <c r="AE15" i="5"/>
  <c r="A19" i="5"/>
  <c r="AL21" i="5" s="1"/>
  <c r="R11" i="5"/>
  <c r="AL37" i="5" s="1"/>
  <c r="R20" i="5"/>
  <c r="AL49" i="5" s="1"/>
  <c r="A20" i="5"/>
  <c r="AL22" i="5" s="1"/>
  <c r="R8" i="5"/>
  <c r="R12" i="5"/>
  <c r="AL38" i="5" s="1"/>
  <c r="Z10" i="5"/>
  <c r="AL42" i="5" s="1"/>
  <c r="R17" i="5"/>
  <c r="R21" i="5"/>
  <c r="AL50" i="5" s="1"/>
  <c r="Z9" i="5"/>
  <c r="AL41" i="5" s="1"/>
  <c r="A17" i="5"/>
  <c r="A21" i="5"/>
  <c r="AL23" i="5" s="1"/>
  <c r="R9" i="5"/>
  <c r="AL35" i="5" s="1"/>
  <c r="R13" i="5"/>
  <c r="AL39" i="5" s="1"/>
  <c r="Z11" i="5"/>
  <c r="AL43" i="5" s="1"/>
  <c r="R18" i="5"/>
  <c r="AL47" i="5" s="1"/>
  <c r="Z13" i="5"/>
  <c r="AL45" i="5" s="1"/>
  <c r="A18" i="5"/>
  <c r="AL20" i="5" s="1"/>
  <c r="A22" i="5"/>
  <c r="AL24" i="5" s="1"/>
  <c r="R10" i="5"/>
  <c r="AL36" i="5" s="1"/>
  <c r="Z8" i="5"/>
  <c r="Z12" i="5"/>
  <c r="AL44" i="5" s="1"/>
  <c r="R19" i="5"/>
  <c r="AL48" i="5" s="1"/>
  <c r="J23" i="5"/>
  <c r="AL32" i="5" s="1"/>
  <c r="AX5" i="5"/>
  <c r="E24" i="11" l="1"/>
  <c r="DO5" i="15"/>
  <c r="Z17" i="5"/>
  <c r="A9" i="5"/>
  <c r="AL9" i="5" s="1"/>
  <c r="A8" i="5"/>
  <c r="E23" i="11" l="1"/>
  <c r="J8" i="5"/>
  <c r="L5" i="15" l="1"/>
  <c r="M5" i="15"/>
  <c r="N5" i="15"/>
  <c r="G5" i="15"/>
  <c r="O5" i="15"/>
  <c r="H5" i="15"/>
  <c r="S5" i="15"/>
  <c r="P5" i="15"/>
  <c r="I15" i="5"/>
  <c r="H15" i="5"/>
  <c r="P24" i="5"/>
  <c r="Q24" i="5"/>
  <c r="Q15" i="5"/>
  <c r="P15" i="5"/>
  <c r="AG24" i="5"/>
  <c r="AF24" i="5"/>
  <c r="G15" i="5"/>
  <c r="AE24" i="5"/>
  <c r="O24" i="5"/>
  <c r="S15" i="5"/>
  <c r="A13" i="5"/>
  <c r="AL13" i="5" s="1"/>
  <c r="J12" i="5"/>
  <c r="AL18" i="5" s="1"/>
  <c r="J17" i="5"/>
  <c r="J21" i="5"/>
  <c r="AL30" i="5" s="1"/>
  <c r="Z19" i="5"/>
  <c r="AL53" i="5" s="1"/>
  <c r="J9" i="5"/>
  <c r="AL15" i="5" s="1"/>
  <c r="A10" i="5"/>
  <c r="AL10" i="5" s="1"/>
  <c r="J18" i="5"/>
  <c r="AL27" i="5" s="1"/>
  <c r="J22" i="5"/>
  <c r="AL31" i="5" s="1"/>
  <c r="Z20" i="5"/>
  <c r="AL54" i="5" s="1"/>
  <c r="A11" i="5"/>
  <c r="AL11" i="5" s="1"/>
  <c r="J10" i="5"/>
  <c r="AL16" i="5" s="1"/>
  <c r="J19" i="5"/>
  <c r="AL28" i="5" s="1"/>
  <c r="Z21" i="5"/>
  <c r="AL55" i="5" s="1"/>
  <c r="A12" i="5"/>
  <c r="AL12" i="5" s="1"/>
  <c r="J11" i="5"/>
  <c r="AL17" i="5" s="1"/>
  <c r="J20" i="5"/>
  <c r="AL29" i="5" s="1"/>
  <c r="Z18" i="5"/>
  <c r="AL52" i="5" s="1"/>
  <c r="AA15" i="5"/>
  <c r="O15" i="5"/>
  <c r="S24" i="5"/>
  <c r="B24" i="5"/>
  <c r="E5" i="15"/>
  <c r="V30" i="5" l="1"/>
  <c r="J5" i="15"/>
  <c r="F5" i="15"/>
  <c r="Q5" i="15"/>
  <c r="R5" i="15"/>
  <c r="K5" i="15"/>
  <c r="I5" i="15"/>
  <c r="B27" i="11"/>
  <c r="AF30" i="5"/>
  <c r="AB30" i="5"/>
  <c r="AA24" i="5"/>
  <c r="K24" i="5"/>
  <c r="K15" i="5"/>
  <c r="B15" i="5"/>
  <c r="F21" i="11" l="1"/>
  <c r="DV5" i="15"/>
  <c r="K21" i="11"/>
  <c r="DW5" i="15"/>
  <c r="Q21" i="11"/>
  <c r="DX5" i="15"/>
  <c r="T25" i="5"/>
  <c r="N28" i="5" s="1"/>
  <c r="W28" i="5" l="1"/>
  <c r="W29" i="5" s="1"/>
  <c r="DY5" i="15"/>
  <c r="E25" i="11"/>
  <c r="DQ5" i="15"/>
  <c r="AL46" i="5"/>
  <c r="AL33" i="5"/>
  <c r="AL8" i="5"/>
  <c r="AL51" i="5"/>
  <c r="AL40" i="5"/>
  <c r="AL26" i="5"/>
  <c r="AL19" i="5"/>
  <c r="AL14" i="5"/>
  <c r="E26" i="11" l="1"/>
  <c r="DR5" i="15"/>
  <c r="V15" i="11"/>
  <c r="B16" i="11" s="1"/>
  <c r="V19" i="11"/>
  <c r="J12" i="11" s="1"/>
  <c r="V23" i="11"/>
  <c r="J16" i="11" s="1"/>
  <c r="V27" i="11"/>
  <c r="V31" i="11"/>
  <c r="V36" i="11"/>
  <c r="V40" i="11"/>
  <c r="V14" i="11"/>
  <c r="B15" i="11" s="1"/>
  <c r="V18" i="11"/>
  <c r="B19" i="11" s="1"/>
  <c r="V22" i="11"/>
  <c r="J15" i="11" s="1"/>
  <c r="V26" i="11"/>
  <c r="J19" i="11" s="1"/>
  <c r="V30" i="11"/>
  <c r="V35" i="11"/>
  <c r="V39" i="11"/>
  <c r="V43" i="11"/>
  <c r="V13" i="11"/>
  <c r="B14" i="11" s="1"/>
  <c r="V17" i="11"/>
  <c r="B18" i="11" s="1"/>
  <c r="V21" i="11"/>
  <c r="J14" i="11" s="1"/>
  <c r="V25" i="11"/>
  <c r="J18" i="11" s="1"/>
  <c r="V29" i="11"/>
  <c r="V34" i="11"/>
  <c r="V38" i="11"/>
  <c r="V42" i="11"/>
  <c r="V12" i="11"/>
  <c r="B13" i="11" s="1"/>
  <c r="V16" i="11"/>
  <c r="B17" i="11" s="1"/>
  <c r="V20" i="11"/>
  <c r="J13" i="11" s="1"/>
  <c r="V24" i="11"/>
  <c r="J17" i="11" s="1"/>
  <c r="V28" i="11"/>
  <c r="V33" i="11"/>
  <c r="V37" i="11"/>
  <c r="V41" i="11"/>
  <c r="V11" i="11"/>
  <c r="B12" i="11" s="1"/>
  <c r="H12" i="11" s="1"/>
  <c r="P19" i="11" l="1"/>
  <c r="K19" i="11"/>
  <c r="L19" i="11"/>
  <c r="Q19" i="11"/>
  <c r="L18" i="11"/>
  <c r="P18" i="11"/>
  <c r="K18" i="11"/>
  <c r="Q18" i="11"/>
  <c r="P15" i="11"/>
  <c r="L15" i="11"/>
  <c r="K15" i="11"/>
  <c r="C17" i="11"/>
  <c r="H17" i="11"/>
  <c r="D17" i="11"/>
  <c r="C12" i="11"/>
  <c r="T1" i="11"/>
  <c r="D12" i="11"/>
  <c r="D16" i="11"/>
  <c r="C16" i="11"/>
  <c r="H16" i="11"/>
  <c r="L14" i="11"/>
  <c r="K14" i="11"/>
  <c r="P14" i="11"/>
  <c r="H19" i="11"/>
  <c r="I19" i="11"/>
  <c r="D19" i="11"/>
  <c r="C19" i="11"/>
  <c r="K13" i="11"/>
  <c r="P13" i="11"/>
  <c r="L13" i="11"/>
  <c r="D18" i="11"/>
  <c r="I18" i="11"/>
  <c r="H18" i="11"/>
  <c r="C18" i="11"/>
  <c r="D14" i="11"/>
  <c r="C14" i="11"/>
  <c r="H14" i="11"/>
  <c r="L12" i="11"/>
  <c r="P12" i="11"/>
  <c r="K12" i="11"/>
  <c r="H15" i="11"/>
  <c r="C15" i="11"/>
  <c r="D15" i="11"/>
  <c r="C13" i="11"/>
  <c r="H13" i="11"/>
  <c r="T2" i="11" s="1"/>
  <c r="D13" i="11"/>
  <c r="P16" i="11"/>
  <c r="L16" i="11"/>
  <c r="K16" i="11"/>
  <c r="F33" i="11" l="1"/>
  <c r="K17" i="11"/>
  <c r="Z5" i="15" s="1"/>
  <c r="P17" i="11"/>
  <c r="L17" i="11"/>
  <c r="DT5" i="15" l="1"/>
  <c r="AN5" i="15"/>
  <c r="AJ5" i="15"/>
  <c r="AH5" i="15"/>
  <c r="AL5" i="15"/>
  <c r="T5" i="15"/>
  <c r="AF5" i="15"/>
  <c r="AB5" i="15"/>
  <c r="V5" i="15"/>
  <c r="X5" i="15"/>
  <c r="AD5" i="15"/>
  <c r="AP5" i="15"/>
  <c r="BD5" i="15"/>
  <c r="CD5" i="15"/>
  <c r="CV5" i="15"/>
  <c r="AX5" i="15"/>
  <c r="BN5" i="15"/>
  <c r="BX5" i="15"/>
  <c r="CN5" i="15"/>
  <c r="CP5" i="15"/>
  <c r="DD5" i="15"/>
  <c r="AR5" i="15"/>
  <c r="BH5" i="15"/>
  <c r="BR5" i="15"/>
  <c r="CH5" i="15"/>
  <c r="BB5" i="15"/>
  <c r="CB5" i="15"/>
  <c r="CT5" i="15"/>
  <c r="DH5" i="15"/>
  <c r="AV5" i="15"/>
  <c r="BL5" i="15"/>
  <c r="BV5" i="15"/>
  <c r="CL5" i="15"/>
  <c r="DB5" i="15"/>
  <c r="BF5" i="15"/>
  <c r="CF5" i="15"/>
  <c r="CX5" i="15"/>
  <c r="AZ5" i="15"/>
  <c r="BP5" i="15"/>
  <c r="BZ5" i="15"/>
  <c r="CR5" i="15"/>
  <c r="DF5" i="15"/>
  <c r="AT5" i="15"/>
  <c r="BJ5" i="15"/>
  <c r="BT5" i="15"/>
  <c r="CJ5" i="15"/>
  <c r="CZ5" i="15"/>
  <c r="AD29" i="5"/>
  <c r="F38" i="11" l="1"/>
  <c r="DU5" i="15"/>
  <c r="Q16" i="11"/>
  <c r="I17" i="11"/>
  <c r="Q17" i="11"/>
  <c r="I15" i="11"/>
  <c r="I12" i="11"/>
  <c r="I16" i="11"/>
  <c r="Q15" i="11"/>
  <c r="Q12" i="11"/>
  <c r="Q14" i="11"/>
  <c r="I14" i="11"/>
  <c r="Q13" i="11"/>
  <c r="I13" i="11"/>
  <c r="A15" i="5"/>
</calcChain>
</file>

<file path=xl/sharedStrings.xml><?xml version="1.0" encoding="utf-8"?>
<sst xmlns="http://schemas.openxmlformats.org/spreadsheetml/2006/main" count="525" uniqueCount="270">
  <si>
    <t>تاريخه</t>
  </si>
  <si>
    <t>تدوير رسوم</t>
  </si>
  <si>
    <t>رقم الطالب</t>
  </si>
  <si>
    <t>الاسم والكنية:</t>
  </si>
  <si>
    <t>اسم الاب:</t>
  </si>
  <si>
    <t>اسم الام:</t>
  </si>
  <si>
    <t>مكان الميلاد</t>
  </si>
  <si>
    <t>عام الميلاد</t>
  </si>
  <si>
    <t>بطل الجمهورية</t>
  </si>
  <si>
    <t>السنة</t>
  </si>
  <si>
    <t>الجنسية</t>
  </si>
  <si>
    <t>الجنس</t>
  </si>
  <si>
    <t>نوع الشهادة</t>
  </si>
  <si>
    <t>عام الثانوية :</t>
  </si>
  <si>
    <t>محافظتها</t>
  </si>
  <si>
    <t>الطلاب الأوائل</t>
  </si>
  <si>
    <t>محافظة الهوية</t>
  </si>
  <si>
    <t>الفصل الأول</t>
  </si>
  <si>
    <t>جديد</t>
  </si>
  <si>
    <t>راسب</t>
  </si>
  <si>
    <t>الفصل الثاني</t>
  </si>
  <si>
    <t xml:space="preserve">الفصل الأول </t>
  </si>
  <si>
    <t>تقسيط</t>
  </si>
  <si>
    <t>مقررات السنة الثانية</t>
  </si>
  <si>
    <t xml:space="preserve">مقررات السنة الرابعة </t>
  </si>
  <si>
    <t>المبلغ المستحق</t>
  </si>
  <si>
    <t>القسط الأول</t>
  </si>
  <si>
    <t>رسم الشهادة</t>
  </si>
  <si>
    <t>القسط الثاني</t>
  </si>
  <si>
    <t>نوع الثانوية</t>
  </si>
  <si>
    <t>رمز المقرر</t>
  </si>
  <si>
    <t>اسم المقرر</t>
  </si>
  <si>
    <t xml:space="preserve">إلى المصرف العقاري </t>
  </si>
  <si>
    <t>يرجى قبض مبلغ  قدره</t>
  </si>
  <si>
    <t xml:space="preserve">وتحويله إلى حساب التعليم المفتوح رقم ck1-10173186 وتسليم إشعار القبض إلى صاحب العلاقة  </t>
  </si>
  <si>
    <t>المعلومات  الشخصية</t>
  </si>
  <si>
    <t>معلومات الشهادة</t>
  </si>
  <si>
    <t>مقررات السنة الأولى</t>
  </si>
  <si>
    <t>مقررات السنة الثالثة</t>
  </si>
  <si>
    <t>مقررات السنة الرابعة</t>
  </si>
  <si>
    <t>الإحصائية</t>
  </si>
  <si>
    <t>الاسم والنسبة</t>
  </si>
  <si>
    <t>الأب</t>
  </si>
  <si>
    <t>الام</t>
  </si>
  <si>
    <t>عام الثانوية</t>
  </si>
  <si>
    <t>رقمه</t>
  </si>
  <si>
    <t>المبلغ المدور</t>
  </si>
  <si>
    <t>عناصر الجيش وقوى الأمن الداخلي</t>
  </si>
  <si>
    <t>تقيسط</t>
  </si>
  <si>
    <t>عدد المواد الجديدة</t>
  </si>
  <si>
    <t>عدد الإجمالي للمواد</t>
  </si>
  <si>
    <t>الاب</t>
  </si>
  <si>
    <t>الأم</t>
  </si>
  <si>
    <t>تاريخ الميلاد</t>
  </si>
  <si>
    <t>الرقم الوطني</t>
  </si>
  <si>
    <t>نوع الشهادة الثانوية</t>
  </si>
  <si>
    <t>سنة الشهادة</t>
  </si>
  <si>
    <t>محافظ الشهادة</t>
  </si>
  <si>
    <t>العنوان الدائم</t>
  </si>
  <si>
    <t>رقم الموبايل</t>
  </si>
  <si>
    <t>ذوي الشهداء وجرحى الجيش العربي السوري</t>
  </si>
  <si>
    <t>رقم تدوير رسوم</t>
  </si>
  <si>
    <t>اتبع الخطوات التالية:</t>
  </si>
  <si>
    <t>الإستمارة وإطبع منها أربعة نسخ</t>
  </si>
  <si>
    <t xml:space="preserve">بعد الإنتهاء من عملية إختيار المقررات إنتقل إلى صفحة </t>
  </si>
  <si>
    <t>الموبايل</t>
  </si>
  <si>
    <t>الهاتف</t>
  </si>
  <si>
    <t>شعبة التجنيد</t>
  </si>
  <si>
    <t>ذكر</t>
  </si>
  <si>
    <t>أنثى</t>
  </si>
  <si>
    <t>العنوان :</t>
  </si>
  <si>
    <t>نوع الحسم</t>
  </si>
  <si>
    <t>نقابة معلمين</t>
  </si>
  <si>
    <t>ذوي إحتياجات الخاصة</t>
  </si>
  <si>
    <t>سجين</t>
  </si>
  <si>
    <t>رسم التسجيل</t>
  </si>
  <si>
    <t>عدد المقررات المسجلة لأول مرة</t>
  </si>
  <si>
    <t>عدد المقررات المسجلة للمرة الثانية</t>
  </si>
  <si>
    <t>عدد المقررات المسجلة لأكثر من مرتين</t>
  </si>
  <si>
    <t>رسم تسجيل سنوي</t>
  </si>
  <si>
    <t>عدد المواد الراسبة للمرة الأولى</t>
  </si>
  <si>
    <t>عدد المواد الراسبة للمرة الثانية</t>
  </si>
  <si>
    <t>place of birth</t>
  </si>
  <si>
    <t>Mother Name</t>
  </si>
  <si>
    <t>Father Name</t>
  </si>
  <si>
    <t>Full Name</t>
  </si>
  <si>
    <t>مكان ورقم القيد</t>
  </si>
  <si>
    <t>لا</t>
  </si>
  <si>
    <t>نعم</t>
  </si>
  <si>
    <t>دمشق</t>
  </si>
  <si>
    <t>علمي</t>
  </si>
  <si>
    <t>ريف دمشق</t>
  </si>
  <si>
    <t>أدبي</t>
  </si>
  <si>
    <t>الاسم الكامل باللغة الإنكليزية</t>
  </si>
  <si>
    <t>اسم الأب باللغة الإنكليزية</t>
  </si>
  <si>
    <t>اسم الأم باللغة الإنكليزية</t>
  </si>
  <si>
    <t>مكان الميلاد باللغة الإنكليزية</t>
  </si>
  <si>
    <t>حلب</t>
  </si>
  <si>
    <t>حمص</t>
  </si>
  <si>
    <t>حماة</t>
  </si>
  <si>
    <t>اللاذقية</t>
  </si>
  <si>
    <t>طرطوس</t>
  </si>
  <si>
    <t>إدلب</t>
  </si>
  <si>
    <t>السويداء</t>
  </si>
  <si>
    <t>القنيطرة</t>
  </si>
  <si>
    <t>درعا</t>
  </si>
  <si>
    <t>الحسكة</t>
  </si>
  <si>
    <t>دير الزور</t>
  </si>
  <si>
    <t>الرقة</t>
  </si>
  <si>
    <t>المحافظة</t>
  </si>
  <si>
    <t>يستفيد من الحسم</t>
  </si>
  <si>
    <t>الحاصيلن عل وسام بطل الجمهورية العربية السورية أو أحد أبنائهم</t>
  </si>
  <si>
    <t>عناصر الجيش العربي السوري وقوى الامن الداخلي</t>
  </si>
  <si>
    <t>أعضاء نقابة المعلمين وأبنائهم والعاملين المنتسبين لنقابة العمال في وزارة التعليم العالي والمؤسسات الهيئات والجامعات التابعة لها وأبنائهم</t>
  </si>
  <si>
    <t>ذوي الاحتياجات الخاصة</t>
  </si>
  <si>
    <t>السجين</t>
  </si>
  <si>
    <t xml:space="preserve">يسدد (500ل.س) فقط رسم كل مقرر </t>
  </si>
  <si>
    <t>1000 من رسم كل مقرر</t>
  </si>
  <si>
    <t>تملئ صفحة إدخال البيانات بالمعلومات المطلوبة وبشكل دقيق وصحيح</t>
  </si>
  <si>
    <t>يكون اختيار المقررات المراد التسجيل عليها على الشكل التالي:</t>
  </si>
  <si>
    <t>أ</t>
  </si>
  <si>
    <t>عند اختيار المقرر للمرة الأول فتضع بجانب اسم المقرر بالعمود الأزرق رقم /1/</t>
  </si>
  <si>
    <t>عند اختيار المقرر للمرة الثانية فتضع بجانب اسم المقرر بالعمود الأزرق رقم /2/</t>
  </si>
  <si>
    <t>عند اخيار المقرر للمرة الثالثة فتضع بجانب اسم المقرر بالعمود الأزرق رقم /3/</t>
  </si>
  <si>
    <t>الانتقال إلى صفحة اختيار المقررات</t>
  </si>
  <si>
    <t>التوجه إلى المصرف العقاري لدفع الرسوم</t>
  </si>
  <si>
    <t>نسبة الحسم</t>
  </si>
  <si>
    <t xml:space="preserve">تعليمات التسجيل </t>
  </si>
  <si>
    <t>ملاحظة :إن كنت من المستفيدين من الحسميات يجب عليك إحضار الوثيقة التي تثبت ذلك
مع الأوراق الثبوتية التي تقدم إلى النافذة</t>
  </si>
  <si>
    <t>شرعية</t>
  </si>
  <si>
    <t>اللغة الاجنبية (E+F )</t>
  </si>
  <si>
    <t>مدخل الى رياض الاطفال  (1)</t>
  </si>
  <si>
    <t xml:space="preserve">تشريعات الطفولة ومنظماتها </t>
  </si>
  <si>
    <t xml:space="preserve">تطور الفكر التربوي في رياض الاطفال </t>
  </si>
  <si>
    <t xml:space="preserve">التربية الصحية وصحة الطفل في الروضة </t>
  </si>
  <si>
    <t xml:space="preserve">علم نفس النمو </t>
  </si>
  <si>
    <t>مدخل الى رياض الاطفا ل(2)</t>
  </si>
  <si>
    <t xml:space="preserve">الروضة والمجتمع </t>
  </si>
  <si>
    <t>سيكلوجيا اللعب</t>
  </si>
  <si>
    <t>قراءات باللغة الاجنبية (E+F )</t>
  </si>
  <si>
    <t xml:space="preserve">القياس والتقويم لانشطة الاطفال </t>
  </si>
  <si>
    <t xml:space="preserve">الانشطة الفنية +عملي </t>
  </si>
  <si>
    <t xml:space="preserve">الانشطة الموسيقية +عملي </t>
  </si>
  <si>
    <t xml:space="preserve">تقنيات التعلم في رياض الاطفال +عملي </t>
  </si>
  <si>
    <t xml:space="preserve">المناهج في رياض الاطفال </t>
  </si>
  <si>
    <t>اللغة العربية (1) أداب الاطفال وثقافة الطفل</t>
  </si>
  <si>
    <t>تدريب ميداني (3)</t>
  </si>
  <si>
    <t xml:space="preserve">علم نفس التعلم </t>
  </si>
  <si>
    <t xml:space="preserve">الحاسوب التربوي </t>
  </si>
  <si>
    <t xml:space="preserve">مسرح الطفل ومسرح العرائس  +عملي </t>
  </si>
  <si>
    <t xml:space="preserve">ادارة ومؤسسات ماقبل المدرسة </t>
  </si>
  <si>
    <t xml:space="preserve">علم نفس الفئات الخاصة </t>
  </si>
  <si>
    <t>تدريب ميداني (4)</t>
  </si>
  <si>
    <t>اللغة الاجنبية (F+E)  (3)</t>
  </si>
  <si>
    <t xml:space="preserve">صعوبات التعلم </t>
  </si>
  <si>
    <t>الخبرات الاجتماعية والوجدانية في رياض الاطفال (2)</t>
  </si>
  <si>
    <t xml:space="preserve">الخبرات اللغوية في رياض الاطفال </t>
  </si>
  <si>
    <t xml:space="preserve">الانشطة الحركية في رياض الاطفال </t>
  </si>
  <si>
    <t xml:space="preserve">الارشاد النفسي والتربوي في رياض الاطفال </t>
  </si>
  <si>
    <t>تدريب ميداني  (2)</t>
  </si>
  <si>
    <t xml:space="preserve">التربية الخاصة للطفل </t>
  </si>
  <si>
    <t xml:space="preserve">مناهج البحث في التربية وعلم النفس </t>
  </si>
  <si>
    <t xml:space="preserve">متحف الطفل ومكتبته </t>
  </si>
  <si>
    <t>اللغة العربية وادابها (2) (النحو-الإملاء-الخط)</t>
  </si>
  <si>
    <t>التربية العملية (1)</t>
  </si>
  <si>
    <t xml:space="preserve">التوجيه التربوي في رياض الاطفال </t>
  </si>
  <si>
    <t xml:space="preserve">علم النفس اللغوي </t>
  </si>
  <si>
    <t xml:space="preserve">علم نفس الفروق الفردية </t>
  </si>
  <si>
    <t xml:space="preserve">الابتكار وتنمية القدرات الابتكارية </t>
  </si>
  <si>
    <t>التربية العملية (2)</t>
  </si>
  <si>
    <t>الحاصلين على وثيقة وفاة من مكتب شؤون الشهداء والجرحى والمفقودين من أبناءوأزواج المتوفيين بعمليات مشابهة للعمليت الحربية</t>
  </si>
  <si>
    <t>ذوي شهداء الجيش وقوى الأمن الداخلي والجرحى وابنائهم الجرحى الذين بلغت لديهم نسبة العجز 70% وأبناء المفقودين وازواجهم</t>
  </si>
  <si>
    <r>
      <t xml:space="preserve">ثم تسليم استمارة التسجيل مع إيصال المصرف إلى شؤون طلاب رياض الأطفال - كلية التربية- الطابق الارضي خلال مدة أقصاها أسبوع من تاريخ إرسال الإيميل .
</t>
    </r>
    <r>
      <rPr>
        <b/>
        <sz val="14"/>
        <color theme="0"/>
        <rFont val="Sakkal Majalla"/>
      </rPr>
      <t>أو إرسالها عن طريق المؤسسة العامة للبريد إلى العنوان التالي :</t>
    </r>
    <r>
      <rPr>
        <sz val="14"/>
        <color theme="0"/>
        <rFont val="Sakkal Majalla"/>
      </rPr>
      <t xml:space="preserve">
 دمشق -مزة - مركز التعليم المفتوح - جانب المدينة الجامعية - ص ب/ 35063/</t>
    </r>
  </si>
  <si>
    <t xml:space="preserve">الصحة النفسية لطفل الروضة </t>
  </si>
  <si>
    <t>الخبرات الاجتماعية والوجدانية في رياض الاطفال (1)</t>
  </si>
  <si>
    <t xml:space="preserve">تنمية المفاهيم العلمية والرياضية في رياض الاطفال </t>
  </si>
  <si>
    <t xml:space="preserve">علم النفس التربوي </t>
  </si>
  <si>
    <t xml:space="preserve">التربية المقارنة </t>
  </si>
  <si>
    <t>تدريب ميداني (1)</t>
  </si>
  <si>
    <t>رسم فصول الانقطاع</t>
  </si>
  <si>
    <t>رسم المقررات</t>
  </si>
  <si>
    <t>ملاحظة: عن كل فصل انقطاع رسم /15000 ل.س/</t>
  </si>
  <si>
    <t>وثيقة وفاة صادرة عن مكتب الشهداء</t>
  </si>
  <si>
    <t>العاملين في وزارة التعليم العالي والمؤسسات والجامعات التابعة لها</t>
  </si>
  <si>
    <t>طابع هلال احمر
25  ل .س</t>
  </si>
  <si>
    <t xml:space="preserve">طابع مالي
 30  ل.س   </t>
  </si>
  <si>
    <t>رسم الانقطاع</t>
  </si>
  <si>
    <t>الفصل الأول من العام الدراسي 2018-2019</t>
  </si>
  <si>
    <t>الفصل الثاني من العام الدراسي 2018-2019</t>
  </si>
  <si>
    <t>الفصل الأول من العام الدراسي 2019-2020</t>
  </si>
  <si>
    <t>الفصل الأول من العام الدراسي 2020-2021</t>
  </si>
  <si>
    <t>أدخل الرقم الإمتحاني</t>
  </si>
  <si>
    <t>الثانوية</t>
  </si>
  <si>
    <t>01</t>
  </si>
  <si>
    <t>العربية السورية</t>
  </si>
  <si>
    <t>02</t>
  </si>
  <si>
    <t>الفلسطينية السورية</t>
  </si>
  <si>
    <t>03</t>
  </si>
  <si>
    <t>رقم جواز السفر لغير السوريين</t>
  </si>
  <si>
    <t>رقم الهاتف</t>
  </si>
  <si>
    <t>06</t>
  </si>
  <si>
    <t>04</t>
  </si>
  <si>
    <t>الأردنية</t>
  </si>
  <si>
    <t>05</t>
  </si>
  <si>
    <t>اللبنانية</t>
  </si>
  <si>
    <t>العراقية</t>
  </si>
  <si>
    <t>07</t>
  </si>
  <si>
    <t>التونسية</t>
  </si>
  <si>
    <t>08</t>
  </si>
  <si>
    <t xml:space="preserve">اليمنية </t>
  </si>
  <si>
    <t>09</t>
  </si>
  <si>
    <t>10</t>
  </si>
  <si>
    <t>11</t>
  </si>
  <si>
    <t>12</t>
  </si>
  <si>
    <t>13</t>
  </si>
  <si>
    <t>14</t>
  </si>
  <si>
    <t>15</t>
  </si>
  <si>
    <t>غير سورية</t>
  </si>
  <si>
    <t>16</t>
  </si>
  <si>
    <t>غير سوري</t>
  </si>
  <si>
    <t>رقم الإيقاف</t>
  </si>
  <si>
    <t>تدوير الرسوم</t>
  </si>
  <si>
    <t>الفصل الثاني من العام الدراسي 2020-2021</t>
  </si>
  <si>
    <t>رقم الطالب:</t>
  </si>
  <si>
    <t>السنة:</t>
  </si>
  <si>
    <t>الجنس:</t>
  </si>
  <si>
    <t>تاريخ الميلاد:</t>
  </si>
  <si>
    <t>مكان الميلاد:</t>
  </si>
  <si>
    <t>الجنسية:</t>
  </si>
  <si>
    <t>الرقم الوطني:</t>
  </si>
  <si>
    <t>مكان ورقم القيد:</t>
  </si>
  <si>
    <t>المحافظة الدائمة:</t>
  </si>
  <si>
    <t>شعبة التجنيد:</t>
  </si>
  <si>
    <t>نوع الثانوية:</t>
  </si>
  <si>
    <t>محافظتها:</t>
  </si>
  <si>
    <t>عامها:</t>
  </si>
  <si>
    <t>الموبايل:</t>
  </si>
  <si>
    <t>الهاتف:</t>
  </si>
  <si>
    <t>الرسوم المدورة</t>
  </si>
  <si>
    <t>طابع بحث علمي
25ل.س</t>
  </si>
  <si>
    <t>ملاحظة: لا يعد الطالب مسجلاً إذا لم ينفذ تعليمات التسجيل كاملةً ويسلم أوراقه إلى القسم المختص  ، وهو مسؤول عن صحة المعلومات الواردة في هذه الاستمارة</t>
  </si>
  <si>
    <t>فنون نسوية</t>
  </si>
  <si>
    <t>الفلسطينية</t>
  </si>
  <si>
    <t>الإيرانية</t>
  </si>
  <si>
    <t>المصرية</t>
  </si>
  <si>
    <t>المغربية</t>
  </si>
  <si>
    <t>الأفغانية</t>
  </si>
  <si>
    <t>التركية</t>
  </si>
  <si>
    <t>سلوفاكية</t>
  </si>
  <si>
    <t>الجزائرية</t>
  </si>
  <si>
    <t>السودانية</t>
  </si>
  <si>
    <t>السعودية</t>
  </si>
  <si>
    <t>الرسوم</t>
  </si>
  <si>
    <t>البيانات باللغة الإنكليزية</t>
  </si>
  <si>
    <t>فصول الإنقطاع</t>
  </si>
  <si>
    <t>رسم فصل الانقطاع</t>
  </si>
  <si>
    <t>الفصل الأول من العام الدراسي 2021-2022</t>
  </si>
  <si>
    <t>B</t>
  </si>
  <si>
    <t>الفصل الثاني من العام الدراسي 2021-2022</t>
  </si>
  <si>
    <t>إلى المصرف التسليف الشعبي</t>
  </si>
  <si>
    <t>الفصل الأول 2022-2023</t>
  </si>
  <si>
    <t>فصول الانقطاع</t>
  </si>
  <si>
    <t>الفصل الثاني 2022-2023</t>
  </si>
  <si>
    <t>إرسال ملف الإستمارة (Excel ) عبر البريد الإلكتروني إلى العنوان التالي :
kin.ople119@ hotmail.com
 ويجب أن يكون موضوع الإيميل هو الرقم الإمتحاني للطالب</t>
  </si>
  <si>
    <t>الفصل الأول 2024-2023</t>
  </si>
  <si>
    <t>الفصل الثاني 2024-2023</t>
  </si>
  <si>
    <t>يجب أن تقوم بملئ الحقول بالمعلومات المطلوبة بشكل صحيح و بشكل كامل</t>
  </si>
  <si>
    <t xml:space="preserve">      اسم الطالب</t>
  </si>
  <si>
    <t>استمارة تسجيل طلاب برنامج رياض الأطفال في الفصل الأول للعام الدراسي 2025/2024</t>
  </si>
  <si>
    <t xml:space="preserve">                                                       المقررات المسجلة في الفصل الأول للعام الدراسي 2024/ 2025
ملاحظة 1:تقع اختيار جميع هذه المقررات على مسؤولية الطالب.
ملاحظة 2 :لا تعدل هذه المقررات أو يضاف تسجيل أي مقرر بعد تسديد الرسوم وتثبيت التسجيل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</si>
</sst>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ل.س.‏&quot;"/>
    <numFmt numFmtId="165" formatCode="[$-1010000]yyyy/mm/dd;@"/>
  </numFmts>
  <fonts count="100" x14ac:knownFonts="1">
    <font>
      <sz val="11"/>
      <color theme="1"/>
      <name val="Arial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name val="Traditional Arabic"/>
      <family val="1"/>
    </font>
    <font>
      <u/>
      <sz val="14"/>
      <name val="Arial"/>
      <family val="2"/>
    </font>
    <font>
      <sz val="11"/>
      <color theme="0"/>
      <name val="Arial"/>
      <family val="2"/>
      <scheme val="minor"/>
    </font>
    <font>
      <u/>
      <sz val="10"/>
      <color theme="10"/>
      <name val="Arial"/>
      <family val="2"/>
    </font>
    <font>
      <sz val="11"/>
      <color rgb="FFFF0000"/>
      <name val="Arial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u/>
      <sz val="10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6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0"/>
      <color rgb="FFFF0000"/>
      <name val="Traditional Arabic"/>
      <family val="1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color rgb="FFFF0000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color theme="1"/>
      <name val="Sakkal Majalla"/>
    </font>
    <font>
      <b/>
      <sz val="16"/>
      <color theme="0"/>
      <name val="Arial"/>
      <family val="2"/>
    </font>
    <font>
      <b/>
      <sz val="11"/>
      <name val="Arial"/>
      <family val="2"/>
      <scheme val="minor"/>
    </font>
    <font>
      <sz val="1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sz val="14"/>
      <color theme="8" tint="-0.249977111117893"/>
      <name val="Arial"/>
      <family val="2"/>
      <scheme val="minor"/>
    </font>
    <font>
      <b/>
      <sz val="12"/>
      <name val="Arial"/>
      <family val="2"/>
      <scheme val="minor"/>
    </font>
    <font>
      <b/>
      <sz val="16"/>
      <color theme="1"/>
      <name val="Arial"/>
      <family val="2"/>
      <scheme val="minor"/>
    </font>
    <font>
      <sz val="14"/>
      <color theme="10"/>
      <name val="Arial"/>
      <family val="2"/>
    </font>
    <font>
      <b/>
      <sz val="14"/>
      <color theme="7" tint="0.59999389629810485"/>
      <name val="Arial"/>
      <family val="2"/>
      <scheme val="minor"/>
    </font>
    <font>
      <b/>
      <u/>
      <sz val="12"/>
      <color theme="10"/>
      <name val="Arial"/>
      <family val="2"/>
    </font>
    <font>
      <sz val="16"/>
      <color theme="1"/>
      <name val="Arial"/>
      <family val="2"/>
      <scheme val="minor"/>
    </font>
    <font>
      <b/>
      <sz val="14"/>
      <name val="Arial"/>
      <family val="2"/>
      <scheme val="minor"/>
    </font>
    <font>
      <b/>
      <sz val="12"/>
      <color theme="0"/>
      <name val="Arial"/>
      <family val="2"/>
    </font>
    <font>
      <b/>
      <sz val="16"/>
      <color theme="0"/>
      <name val="Arial"/>
      <family val="2"/>
      <scheme val="minor"/>
    </font>
    <font>
      <sz val="12"/>
      <color theme="0"/>
      <name val="Arial"/>
      <family val="2"/>
      <scheme val="minor"/>
    </font>
    <font>
      <b/>
      <sz val="13"/>
      <color rgb="FFFF0000"/>
      <name val="Arial"/>
      <family val="2"/>
      <scheme val="minor"/>
    </font>
    <font>
      <b/>
      <sz val="8"/>
      <name val="Arial"/>
      <family val="2"/>
      <scheme val="minor"/>
    </font>
    <font>
      <b/>
      <sz val="16"/>
      <color theme="1"/>
      <name val="Sakkal Majalla"/>
    </font>
    <font>
      <sz val="11"/>
      <color theme="5" tint="0.79998168889431442"/>
      <name val="Arial"/>
      <family val="2"/>
      <scheme val="minor"/>
    </font>
    <font>
      <b/>
      <sz val="11"/>
      <color theme="5" tint="0.79998168889431442"/>
      <name val="Arial"/>
      <family val="2"/>
    </font>
    <font>
      <sz val="14"/>
      <color theme="1"/>
      <name val="Sakkal Majalla"/>
    </font>
    <font>
      <sz val="11"/>
      <color theme="1"/>
      <name val="Sakkal Majalla"/>
    </font>
    <font>
      <b/>
      <sz val="18"/>
      <color theme="1"/>
      <name val="Sakkal Majalla"/>
    </font>
    <font>
      <b/>
      <sz val="14"/>
      <color rgb="FFFF0000"/>
      <name val="Sakkal Majalla"/>
    </font>
    <font>
      <b/>
      <sz val="14"/>
      <color theme="1"/>
      <name val="Sakkal Majalla"/>
    </font>
    <font>
      <b/>
      <u/>
      <sz val="12"/>
      <color theme="10"/>
      <name val="Sakkal Majalla"/>
    </font>
    <font>
      <b/>
      <sz val="16"/>
      <color rgb="FF0070C0"/>
      <name val="Sakkal Majalla"/>
    </font>
    <font>
      <sz val="14"/>
      <color theme="0"/>
      <name val="Sakkal Majalla"/>
    </font>
    <font>
      <b/>
      <u/>
      <sz val="16"/>
      <color theme="0"/>
      <name val="Sakkal Majalla"/>
    </font>
    <font>
      <b/>
      <u/>
      <sz val="14"/>
      <color theme="0"/>
      <name val="Sakkal Majalla"/>
    </font>
    <font>
      <b/>
      <sz val="14"/>
      <color theme="0"/>
      <name val="Sakkal Majalla"/>
    </font>
    <font>
      <b/>
      <sz val="16"/>
      <color rgb="FFFF0000"/>
      <name val="Sakkal Majalla"/>
    </font>
    <font>
      <b/>
      <sz val="18"/>
      <color rgb="FFFF0000"/>
      <name val="Sakkal Majalla"/>
    </font>
    <font>
      <sz val="11"/>
      <color theme="0"/>
      <name val="Sakkal Majalla"/>
    </font>
    <font>
      <sz val="11"/>
      <name val="Sakkal Majalla"/>
    </font>
    <font>
      <sz val="8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12"/>
      <color rgb="FF002060"/>
      <name val="Arial"/>
      <family val="2"/>
      <scheme val="minor"/>
    </font>
    <font>
      <b/>
      <sz val="10"/>
      <color theme="0"/>
      <name val="Arial"/>
      <family val="2"/>
    </font>
    <font>
      <sz val="14"/>
      <name val="Sakkal Majalla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sz val="10"/>
      <color rgb="FF002060"/>
      <name val="Arial"/>
      <family val="2"/>
    </font>
    <font>
      <b/>
      <sz val="16"/>
      <color theme="0"/>
      <name val="Sakkal Majalla"/>
    </font>
    <font>
      <sz val="14"/>
      <color rgb="FFFF0000"/>
      <name val="Sakkal Majalla"/>
    </font>
    <font>
      <b/>
      <sz val="11"/>
      <color rgb="FF002060"/>
      <name val="Arial"/>
      <family val="2"/>
    </font>
    <font>
      <sz val="9"/>
      <color rgb="FFFF0000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11"/>
      <color rgb="FF002060"/>
      <name val="Arial"/>
      <family val="2"/>
      <scheme val="minor"/>
    </font>
    <font>
      <b/>
      <sz val="8"/>
      <color rgb="FFFF0000"/>
      <name val="Arial"/>
      <family val="2"/>
      <scheme val="minor"/>
    </font>
    <font>
      <sz val="10"/>
      <color theme="0"/>
      <name val="Arial"/>
      <family val="2"/>
      <charset val="178"/>
    </font>
    <font>
      <u/>
      <sz val="10"/>
      <name val="Arial"/>
      <family val="2"/>
      <charset val="178"/>
    </font>
    <font>
      <sz val="10"/>
      <color theme="1"/>
      <name val="Arial"/>
      <family val="2"/>
      <charset val="178"/>
      <scheme val="minor"/>
    </font>
    <font>
      <sz val="10"/>
      <name val="Arial"/>
      <family val="2"/>
      <charset val="178"/>
    </font>
    <font>
      <sz val="10"/>
      <color theme="0"/>
      <name val="Arial"/>
      <family val="2"/>
      <charset val="178"/>
      <scheme val="minor"/>
    </font>
    <font>
      <sz val="10"/>
      <color theme="0"/>
      <name val="Sakkal Majalla"/>
    </font>
    <font>
      <u/>
      <sz val="10"/>
      <color rgb="FF0070C0"/>
      <name val="Arial"/>
      <family val="2"/>
      <charset val="178"/>
    </font>
    <font>
      <sz val="10"/>
      <color rgb="FFFF0000"/>
      <name val="Arial"/>
      <family val="2"/>
      <charset val="178"/>
    </font>
    <font>
      <sz val="10"/>
      <color rgb="FFFF0000"/>
      <name val="Arial"/>
      <family val="2"/>
      <charset val="178"/>
      <scheme val="minor"/>
    </font>
    <font>
      <sz val="9"/>
      <name val="Arial"/>
      <family val="2"/>
    </font>
    <font>
      <b/>
      <sz val="12"/>
      <name val="Sakkal Majalla"/>
    </font>
    <font>
      <sz val="10"/>
      <color indexed="8"/>
      <name val="Arial"/>
      <family val="2"/>
    </font>
    <font>
      <sz val="10"/>
      <name val="Arial"/>
      <family val="2"/>
    </font>
    <font>
      <sz val="12"/>
      <color rgb="FFFF0000"/>
      <name val="Arial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3855A6"/>
        <bgColor indexed="64"/>
      </patternFill>
    </fill>
    <fill>
      <patternFill patternType="solid">
        <fgColor rgb="FFC00000"/>
        <bgColor indexed="64"/>
      </patternFill>
    </fill>
  </fills>
  <borders count="14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hair">
        <color indexed="64"/>
      </left>
      <right style="mediumDashDot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mediumDashDot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DashDot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indexed="64"/>
      </left>
      <right style="thick">
        <color theme="0"/>
      </right>
      <top/>
      <bottom/>
      <diagonal/>
    </border>
    <border>
      <left/>
      <right style="dashDot">
        <color theme="0"/>
      </right>
      <top/>
      <bottom/>
      <diagonal/>
    </border>
    <border>
      <left style="dashDot">
        <color theme="0"/>
      </left>
      <right style="dashDot">
        <color theme="0"/>
      </right>
      <top/>
      <bottom/>
      <diagonal/>
    </border>
    <border>
      <left style="medium">
        <color indexed="64"/>
      </left>
      <right style="dashDotDot">
        <color theme="0"/>
      </right>
      <top style="thin">
        <color theme="0"/>
      </top>
      <bottom style="thin">
        <color theme="0"/>
      </bottom>
      <diagonal/>
    </border>
    <border>
      <left style="dashDotDot">
        <color theme="0"/>
      </left>
      <right style="dashDotDot">
        <color theme="0"/>
      </right>
      <top style="thin">
        <color theme="0"/>
      </top>
      <bottom style="thin">
        <color theme="0"/>
      </bottom>
      <diagonal/>
    </border>
    <border>
      <left style="dashDotDot">
        <color theme="0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 style="dashDotDot">
        <color theme="0"/>
      </right>
      <top style="thin">
        <color theme="0"/>
      </top>
      <bottom style="thin">
        <color theme="0"/>
      </bottom>
      <diagonal/>
    </border>
    <border>
      <left style="dashDot">
        <color theme="0"/>
      </left>
      <right style="dashDot">
        <color theme="0"/>
      </right>
      <top/>
      <bottom style="medium">
        <color theme="0"/>
      </bottom>
      <diagonal/>
    </border>
    <border>
      <left style="dashDot">
        <color theme="0"/>
      </left>
      <right/>
      <top/>
      <bottom/>
      <diagonal/>
    </border>
    <border>
      <left style="dashDot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double">
        <color indexed="64"/>
      </right>
      <top style="thin">
        <color theme="0"/>
      </top>
      <bottom style="thin">
        <color theme="0"/>
      </bottom>
      <diagonal/>
    </border>
    <border>
      <left style="dashDotDot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auto="1"/>
      </left>
      <right style="mediumDashDot">
        <color auto="1"/>
      </right>
      <top style="thin">
        <color auto="1"/>
      </top>
      <bottom style="medium">
        <color auto="1"/>
      </bottom>
      <diagonal/>
    </border>
    <border>
      <left style="mediumDashDot">
        <color auto="1"/>
      </left>
      <right style="mediumDashDot">
        <color auto="1"/>
      </right>
      <top style="thin">
        <color auto="1"/>
      </top>
      <bottom style="medium">
        <color auto="1"/>
      </bottom>
      <diagonal/>
    </border>
    <border>
      <left style="mediumDashDot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mediumDashDot">
        <color auto="1"/>
      </right>
      <top style="medium">
        <color auto="1"/>
      </top>
      <bottom style="medium">
        <color auto="1"/>
      </bottom>
      <diagonal/>
    </border>
    <border>
      <left style="mediumDashDot">
        <color auto="1"/>
      </left>
      <right style="mediumDashDot">
        <color auto="1"/>
      </right>
      <top style="medium">
        <color auto="1"/>
      </top>
      <bottom style="medium">
        <color auto="1"/>
      </bottom>
      <diagonal/>
    </border>
    <border>
      <left style="mediumDashDot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mediumDashDot">
        <color auto="1"/>
      </right>
      <top style="medium">
        <color auto="1"/>
      </top>
      <bottom style="thin">
        <color auto="1"/>
      </bottom>
      <diagonal/>
    </border>
    <border>
      <left style="mediumDashDot">
        <color auto="1"/>
      </left>
      <right style="mediumDashDot">
        <color auto="1"/>
      </right>
      <top style="medium">
        <color auto="1"/>
      </top>
      <bottom style="thin">
        <color auto="1"/>
      </bottom>
      <diagonal/>
    </border>
    <border>
      <left style="mediumDashDot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mediumDashDot">
        <color auto="1"/>
      </right>
      <top style="medium">
        <color auto="1"/>
      </top>
      <bottom style="thin">
        <color auto="1"/>
      </bottom>
      <diagonal/>
    </border>
    <border>
      <left style="mediumDashDot">
        <color auto="1"/>
      </left>
      <right style="mediumDashDot">
        <color auto="1"/>
      </right>
      <top style="thin">
        <color auto="1"/>
      </top>
      <bottom/>
      <diagonal/>
    </border>
    <border>
      <left style="mediumDashDot">
        <color auto="1"/>
      </left>
      <right style="mediumDashDot">
        <color auto="1"/>
      </right>
      <top/>
      <bottom/>
      <diagonal/>
    </border>
    <border>
      <left style="mediumDashDot">
        <color auto="1"/>
      </left>
      <right style="mediumDashDot">
        <color auto="1"/>
      </right>
      <top/>
      <bottom style="medium">
        <color auto="1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/>
      <top style="dashed">
        <color theme="0"/>
      </top>
      <bottom style="dashed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thin">
        <color indexed="64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/>
      <diagonal/>
    </border>
    <border>
      <left/>
      <right style="medium">
        <color indexed="64"/>
      </right>
      <top style="medium">
        <color theme="0"/>
      </top>
      <bottom/>
      <diagonal/>
    </border>
    <border>
      <left style="medium">
        <color indexed="64"/>
      </left>
      <right/>
      <top/>
      <bottom style="medium">
        <color theme="0"/>
      </bottom>
      <diagonal/>
    </border>
    <border>
      <left/>
      <right style="medium">
        <color indexed="64"/>
      </right>
      <top/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dashed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dashed">
        <color theme="0"/>
      </bottom>
      <diagonal/>
    </border>
    <border>
      <left style="medium">
        <color theme="0"/>
      </left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 style="medium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 style="thin">
        <color theme="0"/>
      </right>
      <top style="dashed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dashed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/>
      <top/>
      <bottom style="dashed">
        <color theme="0"/>
      </bottom>
      <diagonal/>
    </border>
    <border>
      <left/>
      <right style="medium">
        <color theme="0"/>
      </right>
      <top/>
      <bottom style="dashed">
        <color theme="0"/>
      </bottom>
      <diagonal/>
    </border>
    <border>
      <left style="medium">
        <color theme="0"/>
      </left>
      <right/>
      <top style="dashed">
        <color theme="0"/>
      </top>
      <bottom style="dashed">
        <color theme="0"/>
      </bottom>
      <diagonal/>
    </border>
    <border>
      <left/>
      <right style="thin">
        <color theme="0"/>
      </right>
      <top style="dashed">
        <color theme="0"/>
      </top>
      <bottom style="dashed">
        <color theme="0"/>
      </bottom>
      <diagonal/>
    </border>
    <border>
      <left style="medium">
        <color theme="0"/>
      </left>
      <right/>
      <top style="dashed">
        <color theme="0"/>
      </top>
      <bottom style="medium">
        <color theme="0"/>
      </bottom>
      <diagonal/>
    </border>
    <border>
      <left/>
      <right/>
      <top style="dashed">
        <color theme="0"/>
      </top>
      <bottom style="medium">
        <color theme="0"/>
      </bottom>
      <diagonal/>
    </border>
    <border>
      <left/>
      <right style="thin">
        <color theme="0"/>
      </right>
      <top style="dashed">
        <color theme="0"/>
      </top>
      <bottom style="medium">
        <color theme="0"/>
      </bottom>
      <diagonal/>
    </border>
    <border>
      <left style="double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dashed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ck">
        <color rgb="FF3855A6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/>
      <right style="thick">
        <color theme="0"/>
      </right>
      <top style="thin">
        <color theme="0"/>
      </top>
      <bottom/>
      <diagonal/>
    </border>
    <border>
      <left/>
      <right style="thick">
        <color rgb="FF3855A6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2" fillId="0" borderId="0" applyNumberFormat="0" applyFill="0" applyBorder="0" applyAlignment="0" applyProtection="0"/>
    <xf numFmtId="0" fontId="8" fillId="0" borderId="0"/>
    <xf numFmtId="0" fontId="9" fillId="0" borderId="0"/>
    <xf numFmtId="0" fontId="8" fillId="0" borderId="0"/>
    <xf numFmtId="0" fontId="98" fillId="0" borderId="0"/>
    <xf numFmtId="0" fontId="97" fillId="0" borderId="0"/>
    <xf numFmtId="0" fontId="8" fillId="0" borderId="0"/>
  </cellStyleXfs>
  <cellXfs count="550">
    <xf numFmtId="0" fontId="0" fillId="0" borderId="0" xfId="0"/>
    <xf numFmtId="0" fontId="0" fillId="0" borderId="0" xfId="0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4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horizontal="right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8" fillId="0" borderId="0" xfId="1" applyFont="1" applyFill="1" applyBorder="1" applyProtection="1">
      <protection hidden="1"/>
    </xf>
    <xf numFmtId="0" fontId="14" fillId="0" borderId="0" xfId="0" applyFont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vertical="center" shrinkToFit="1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right"/>
      <protection hidden="1"/>
    </xf>
    <xf numFmtId="0" fontId="21" fillId="0" borderId="0" xfId="0" applyFont="1" applyAlignment="1" applyProtection="1">
      <alignment horizontal="center"/>
      <protection hidden="1"/>
    </xf>
    <xf numFmtId="0" fontId="22" fillId="0" borderId="0" xfId="0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0" fontId="23" fillId="0" borderId="0" xfId="0" applyFont="1" applyProtection="1">
      <protection hidden="1"/>
    </xf>
    <xf numFmtId="0" fontId="23" fillId="0" borderId="0" xfId="0" applyFont="1" applyAlignment="1" applyProtection="1">
      <alignment vertical="center" textRotation="90"/>
      <protection hidden="1"/>
    </xf>
    <xf numFmtId="0" fontId="23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 wrapText="1"/>
      <protection hidden="1"/>
    </xf>
    <xf numFmtId="0" fontId="24" fillId="0" borderId="0" xfId="0" applyFont="1" applyAlignment="1" applyProtection="1">
      <alignment shrinkToFit="1"/>
      <protection hidden="1"/>
    </xf>
    <xf numFmtId="0" fontId="25" fillId="0" borderId="0" xfId="0" applyFont="1" applyProtection="1">
      <protection hidden="1"/>
    </xf>
    <xf numFmtId="0" fontId="26" fillId="3" borderId="1" xfId="0" applyFont="1" applyFill="1" applyBorder="1" applyAlignment="1" applyProtection="1">
      <alignment horizontal="center" vertical="center"/>
      <protection hidden="1"/>
    </xf>
    <xf numFmtId="0" fontId="2" fillId="3" borderId="2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" fillId="3" borderId="8" xfId="0" applyFont="1" applyFill="1" applyBorder="1" applyAlignment="1" applyProtection="1">
      <alignment horizontal="center" vertical="center"/>
      <protection hidden="1"/>
    </xf>
    <xf numFmtId="0" fontId="2" fillId="3" borderId="9" xfId="0" applyFont="1" applyFill="1" applyBorder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2" fillId="5" borderId="0" xfId="0" applyFont="1" applyFill="1" applyAlignment="1" applyProtection="1">
      <alignment horizontal="center" vertical="center"/>
      <protection hidden="1"/>
    </xf>
    <xf numFmtId="0" fontId="2" fillId="3" borderId="0" xfId="0" applyFont="1" applyFill="1" applyAlignment="1" applyProtection="1">
      <alignment horizontal="center" vertical="center"/>
      <protection hidden="1"/>
    </xf>
    <xf numFmtId="0" fontId="2" fillId="6" borderId="0" xfId="0" applyFont="1" applyFill="1" applyAlignment="1" applyProtection="1">
      <alignment horizontal="center" vertical="center" textRotation="90"/>
      <protection hidden="1"/>
    </xf>
    <xf numFmtId="0" fontId="2" fillId="3" borderId="21" xfId="0" applyFont="1" applyFill="1" applyBorder="1" applyAlignment="1" applyProtection="1">
      <alignment horizontal="center" vertical="center"/>
      <protection hidden="1"/>
    </xf>
    <xf numFmtId="0" fontId="23" fillId="0" borderId="5" xfId="0" applyFont="1" applyBorder="1" applyProtection="1">
      <protection hidden="1"/>
    </xf>
    <xf numFmtId="0" fontId="11" fillId="0" borderId="0" xfId="0" applyFont="1" applyProtection="1">
      <protection hidden="1"/>
    </xf>
    <xf numFmtId="0" fontId="26" fillId="4" borderId="4" xfId="0" applyFont="1" applyFill="1" applyBorder="1" applyAlignment="1" applyProtection="1">
      <alignment horizontal="center" vertical="center"/>
      <protection hidden="1"/>
    </xf>
    <xf numFmtId="0" fontId="26" fillId="4" borderId="0" xfId="0" applyFont="1" applyFill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4" fillId="3" borderId="23" xfId="0" applyFont="1" applyFill="1" applyBorder="1" applyAlignment="1" applyProtection="1">
      <alignment vertical="center"/>
      <protection hidden="1"/>
    </xf>
    <xf numFmtId="0" fontId="4" fillId="3" borderId="0" xfId="0" applyFont="1" applyFill="1" applyAlignment="1" applyProtection="1">
      <alignment vertical="center"/>
      <protection hidden="1"/>
    </xf>
    <xf numFmtId="0" fontId="32" fillId="2" borderId="3" xfId="0" applyFont="1" applyFill="1" applyBorder="1" applyAlignment="1" applyProtection="1">
      <alignment horizontal="center" vertical="center" shrinkToFit="1"/>
      <protection hidden="1"/>
    </xf>
    <xf numFmtId="0" fontId="32" fillId="0" borderId="0" xfId="0" applyFont="1" applyAlignment="1" applyProtection="1">
      <alignment vertical="center" shrinkToFit="1"/>
      <protection hidden="1"/>
    </xf>
    <xf numFmtId="0" fontId="32" fillId="0" borderId="0" xfId="0" applyFont="1" applyAlignment="1" applyProtection="1">
      <alignment horizontal="center" vertical="center" shrinkToFit="1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0" fontId="29" fillId="9" borderId="0" xfId="0" applyFont="1" applyFill="1" applyAlignment="1" applyProtection="1">
      <alignment horizontal="center" vertical="center"/>
      <protection hidden="1"/>
    </xf>
    <xf numFmtId="0" fontId="29" fillId="4" borderId="0" xfId="0" applyFont="1" applyFill="1" applyAlignment="1" applyProtection="1">
      <alignment horizontal="center" vertical="center"/>
      <protection hidden="1"/>
    </xf>
    <xf numFmtId="0" fontId="34" fillId="13" borderId="47" xfId="0" applyFont="1" applyFill="1" applyBorder="1" applyAlignment="1" applyProtection="1">
      <alignment horizontal="center" vertical="center"/>
      <protection hidden="1"/>
    </xf>
    <xf numFmtId="0" fontId="34" fillId="13" borderId="48" xfId="0" applyFont="1" applyFill="1" applyBorder="1" applyAlignment="1" applyProtection="1">
      <alignment horizontal="center" vertical="center"/>
      <protection hidden="1"/>
    </xf>
    <xf numFmtId="14" fontId="34" fillId="13" borderId="48" xfId="0" applyNumberFormat="1" applyFont="1" applyFill="1" applyBorder="1" applyAlignment="1" applyProtection="1">
      <alignment horizontal="center" vertical="center"/>
      <protection hidden="1"/>
    </xf>
    <xf numFmtId="0" fontId="27" fillId="0" borderId="44" xfId="0" applyFont="1" applyBorder="1" applyAlignment="1" applyProtection="1">
      <alignment horizontal="center" vertical="center"/>
      <protection hidden="1"/>
    </xf>
    <xf numFmtId="0" fontId="35" fillId="13" borderId="47" xfId="0" applyFont="1" applyFill="1" applyBorder="1" applyAlignment="1" applyProtection="1">
      <alignment horizontal="center" vertical="center"/>
      <protection hidden="1"/>
    </xf>
    <xf numFmtId="0" fontId="35" fillId="13" borderId="48" xfId="0" applyFont="1" applyFill="1" applyBorder="1" applyAlignment="1" applyProtection="1">
      <alignment horizontal="center" vertical="center"/>
      <protection hidden="1"/>
    </xf>
    <xf numFmtId="14" fontId="35" fillId="13" borderId="48" xfId="0" applyNumberFormat="1" applyFont="1" applyFill="1" applyBorder="1" applyAlignment="1" applyProtection="1">
      <alignment horizontal="center" vertical="center"/>
      <protection hidden="1"/>
    </xf>
    <xf numFmtId="0" fontId="2" fillId="6" borderId="15" xfId="0" applyFont="1" applyFill="1" applyBorder="1" applyAlignment="1" applyProtection="1">
      <alignment horizontal="center" vertical="center"/>
      <protection hidden="1"/>
    </xf>
    <xf numFmtId="0" fontId="2" fillId="9" borderId="16" xfId="0" applyFont="1" applyFill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36" fillId="14" borderId="49" xfId="0" applyFont="1" applyFill="1" applyBorder="1" applyAlignment="1" applyProtection="1">
      <alignment horizontal="center" vertical="center"/>
      <protection hidden="1"/>
    </xf>
    <xf numFmtId="0" fontId="36" fillId="14" borderId="50" xfId="0" applyFont="1" applyFill="1" applyBorder="1" applyAlignment="1" applyProtection="1">
      <alignment horizontal="center" vertical="center"/>
      <protection hidden="1"/>
    </xf>
    <xf numFmtId="14" fontId="36" fillId="14" borderId="50" xfId="0" applyNumberFormat="1" applyFont="1" applyFill="1" applyBorder="1" applyAlignment="1" applyProtection="1">
      <alignment horizontal="center" vertical="center"/>
      <protection hidden="1"/>
    </xf>
    <xf numFmtId="0" fontId="36" fillId="14" borderId="51" xfId="0" applyFont="1" applyFill="1" applyBorder="1" applyAlignment="1" applyProtection="1">
      <alignment horizontal="center" vertical="center"/>
      <protection hidden="1"/>
    </xf>
    <xf numFmtId="0" fontId="28" fillId="4" borderId="65" xfId="0" applyFont="1" applyFill="1" applyBorder="1" applyAlignment="1" applyProtection="1">
      <alignment horizontal="center" vertical="center"/>
      <protection hidden="1"/>
    </xf>
    <xf numFmtId="0" fontId="28" fillId="4" borderId="68" xfId="0" applyFont="1" applyFill="1" applyBorder="1" applyAlignment="1" applyProtection="1">
      <alignment horizontal="center" vertical="center"/>
      <protection hidden="1"/>
    </xf>
    <xf numFmtId="0" fontId="28" fillId="4" borderId="67" xfId="0" applyFont="1" applyFill="1" applyBorder="1" applyAlignment="1" applyProtection="1">
      <alignment horizontal="center" vertical="center" wrapText="1"/>
      <protection hidden="1"/>
    </xf>
    <xf numFmtId="0" fontId="36" fillId="11" borderId="52" xfId="0" applyFont="1" applyFill="1" applyBorder="1" applyAlignment="1" applyProtection="1">
      <alignment horizontal="center" vertical="center"/>
      <protection hidden="1"/>
    </xf>
    <xf numFmtId="0" fontId="36" fillId="11" borderId="50" xfId="0" applyFont="1" applyFill="1" applyBorder="1" applyAlignment="1" applyProtection="1">
      <alignment horizontal="center" vertical="center"/>
      <protection hidden="1"/>
    </xf>
    <xf numFmtId="0" fontId="36" fillId="11" borderId="58" xfId="0" applyFont="1" applyFill="1" applyBorder="1" applyAlignment="1" applyProtection="1">
      <alignment horizontal="center" vertical="center"/>
      <protection hidden="1"/>
    </xf>
    <xf numFmtId="0" fontId="28" fillId="15" borderId="57" xfId="0" applyFont="1" applyFill="1" applyBorder="1" applyAlignment="1" applyProtection="1">
      <alignment horizontal="center" vertical="center"/>
      <protection hidden="1"/>
    </xf>
    <xf numFmtId="0" fontId="2" fillId="6" borderId="13" xfId="0" applyFont="1" applyFill="1" applyBorder="1" applyAlignment="1" applyProtection="1">
      <alignment horizontal="center" vertical="center"/>
      <protection hidden="1"/>
    </xf>
    <xf numFmtId="0" fontId="2" fillId="9" borderId="12" xfId="0" applyFont="1" applyFill="1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center" vertical="center"/>
      <protection hidden="1"/>
    </xf>
    <xf numFmtId="14" fontId="0" fillId="0" borderId="0" xfId="0" applyNumberFormat="1" applyProtection="1">
      <protection hidden="1"/>
    </xf>
    <xf numFmtId="0" fontId="0" fillId="4" borderId="4" xfId="0" applyFill="1" applyBorder="1" applyAlignment="1" applyProtection="1">
      <alignment horizontal="center" vertical="center"/>
      <protection hidden="1"/>
    </xf>
    <xf numFmtId="0" fontId="36" fillId="0" borderId="0" xfId="0" applyFont="1" applyAlignment="1" applyProtection="1">
      <alignment horizontal="center" vertical="center"/>
      <protection hidden="1"/>
    </xf>
    <xf numFmtId="0" fontId="4" fillId="3" borderId="77" xfId="0" applyFont="1" applyFill="1" applyBorder="1" applyAlignment="1" applyProtection="1">
      <alignment vertical="center"/>
      <protection hidden="1"/>
    </xf>
    <xf numFmtId="49" fontId="36" fillId="14" borderId="50" xfId="0" applyNumberFormat="1" applyFont="1" applyFill="1" applyBorder="1" applyAlignment="1" applyProtection="1">
      <alignment horizontal="center" vertical="center"/>
      <protection hidden="1"/>
    </xf>
    <xf numFmtId="49" fontId="28" fillId="4" borderId="66" xfId="0" applyNumberFormat="1" applyFont="1" applyFill="1" applyBorder="1" applyAlignment="1" applyProtection="1">
      <alignment horizontal="center" vertical="center"/>
      <protection hidden="1"/>
    </xf>
    <xf numFmtId="0" fontId="50" fillId="6" borderId="0" xfId="0" applyFont="1" applyFill="1" applyAlignment="1" applyProtection="1">
      <alignment horizontal="center" vertical="center" textRotation="90"/>
      <protection hidden="1"/>
    </xf>
    <xf numFmtId="0" fontId="52" fillId="0" borderId="0" xfId="0" applyFont="1"/>
    <xf numFmtId="0" fontId="55" fillId="0" borderId="0" xfId="0" applyFont="1" applyAlignment="1">
      <alignment horizontal="center"/>
    </xf>
    <xf numFmtId="0" fontId="55" fillId="0" borderId="0" xfId="0" applyFont="1"/>
    <xf numFmtId="0" fontId="51" fillId="0" borderId="0" xfId="0" applyFont="1"/>
    <xf numFmtId="0" fontId="51" fillId="0" borderId="0" xfId="0" applyFont="1" applyAlignment="1">
      <alignment horizontal="center"/>
    </xf>
    <xf numFmtId="0" fontId="60" fillId="21" borderId="83" xfId="1" applyFont="1" applyFill="1" applyBorder="1"/>
    <xf numFmtId="0" fontId="56" fillId="0" borderId="0" xfId="1" applyFont="1" applyFill="1" applyBorder="1" applyAlignment="1">
      <alignment vertical="center" wrapText="1"/>
    </xf>
    <xf numFmtId="0" fontId="56" fillId="0" borderId="0" xfId="1" applyFont="1" applyFill="1" applyAlignment="1"/>
    <xf numFmtId="0" fontId="33" fillId="0" borderId="0" xfId="0" applyFont="1" applyProtection="1">
      <protection hidden="1"/>
    </xf>
    <xf numFmtId="0" fontId="11" fillId="0" borderId="46" xfId="0" applyFont="1" applyBorder="1" applyAlignment="1" applyProtection="1">
      <alignment vertical="center"/>
      <protection hidden="1"/>
    </xf>
    <xf numFmtId="0" fontId="0" fillId="5" borderId="5" xfId="0" applyFill="1" applyBorder="1" applyAlignment="1" applyProtection="1">
      <alignment horizontal="center" vertical="center"/>
      <protection hidden="1"/>
    </xf>
    <xf numFmtId="0" fontId="0" fillId="5" borderId="6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26" fillId="7" borderId="11" xfId="0" applyFont="1" applyFill="1" applyBorder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2" fillId="3" borderId="7" xfId="0" applyFont="1" applyFill="1" applyBorder="1" applyAlignment="1" applyProtection="1">
      <alignment horizontal="center" vertical="center"/>
      <protection hidden="1"/>
    </xf>
    <xf numFmtId="0" fontId="2" fillId="3" borderId="14" xfId="0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26" fillId="3" borderId="0" xfId="0" applyFont="1" applyFill="1" applyAlignment="1" applyProtection="1">
      <alignment horizontal="center" vertical="center"/>
      <protection hidden="1"/>
    </xf>
    <xf numFmtId="0" fontId="26" fillId="7" borderId="10" xfId="0" applyFont="1" applyFill="1" applyBorder="1" applyAlignment="1" applyProtection="1">
      <alignment horizontal="center" vertical="center"/>
      <protection locked="0" hidden="1"/>
    </xf>
    <xf numFmtId="0" fontId="4" fillId="5" borderId="0" xfId="0" applyFont="1" applyFill="1" applyAlignment="1" applyProtection="1">
      <alignment horizontal="center" vertical="center"/>
      <protection hidden="1"/>
    </xf>
    <xf numFmtId="0" fontId="65" fillId="5" borderId="107" xfId="0" applyFont="1" applyFill="1" applyBorder="1" applyAlignment="1" applyProtection="1">
      <alignment horizontal="center" vertical="center"/>
      <protection hidden="1"/>
    </xf>
    <xf numFmtId="0" fontId="65" fillId="5" borderId="32" xfId="0" applyFont="1" applyFill="1" applyBorder="1" applyAlignment="1" applyProtection="1">
      <alignment horizontal="center" vertical="center"/>
      <protection hidden="1"/>
    </xf>
    <xf numFmtId="0" fontId="26" fillId="7" borderId="33" xfId="0" applyFont="1" applyFill="1" applyBorder="1" applyAlignment="1" applyProtection="1">
      <alignment horizontal="center" vertical="center"/>
      <protection locked="0" hidden="1"/>
    </xf>
    <xf numFmtId="0" fontId="2" fillId="3" borderId="108" xfId="0" applyFont="1" applyFill="1" applyBorder="1" applyAlignment="1" applyProtection="1">
      <alignment horizontal="center" vertical="center"/>
      <protection hidden="1"/>
    </xf>
    <xf numFmtId="0" fontId="65" fillId="3" borderId="110" xfId="0" applyFont="1" applyFill="1" applyBorder="1" applyAlignment="1" applyProtection="1">
      <alignment horizontal="center" vertical="center"/>
      <protection hidden="1"/>
    </xf>
    <xf numFmtId="0" fontId="65" fillId="3" borderId="33" xfId="0" applyFont="1" applyFill="1" applyBorder="1" applyAlignment="1" applyProtection="1">
      <alignment horizontal="center" vertical="center"/>
      <protection hidden="1"/>
    </xf>
    <xf numFmtId="0" fontId="65" fillId="5" borderId="111" xfId="0" applyFont="1" applyFill="1" applyBorder="1" applyAlignment="1" applyProtection="1">
      <alignment horizontal="center" vertical="center"/>
      <protection hidden="1"/>
    </xf>
    <xf numFmtId="0" fontId="65" fillId="3" borderId="112" xfId="0" applyFont="1" applyFill="1" applyBorder="1" applyAlignment="1" applyProtection="1">
      <alignment horizontal="center" vertical="center"/>
      <protection hidden="1"/>
    </xf>
    <xf numFmtId="0" fontId="65" fillId="5" borderId="113" xfId="0" applyFont="1" applyFill="1" applyBorder="1" applyAlignment="1" applyProtection="1">
      <alignment horizontal="center" vertical="center"/>
      <protection hidden="1"/>
    </xf>
    <xf numFmtId="0" fontId="65" fillId="3" borderId="14" xfId="0" applyFont="1" applyFill="1" applyBorder="1" applyAlignment="1" applyProtection="1">
      <alignment horizontal="center" vertical="center"/>
      <protection hidden="1"/>
    </xf>
    <xf numFmtId="0" fontId="65" fillId="8" borderId="107" xfId="0" applyFont="1" applyFill="1" applyBorder="1" applyAlignment="1" applyProtection="1">
      <alignment horizontal="center" vertical="center"/>
      <protection hidden="1"/>
    </xf>
    <xf numFmtId="0" fontId="65" fillId="8" borderId="110" xfId="0" applyFont="1" applyFill="1" applyBorder="1" applyAlignment="1" applyProtection="1">
      <alignment horizontal="center" vertical="center"/>
      <protection hidden="1"/>
    </xf>
    <xf numFmtId="0" fontId="36" fillId="8" borderId="0" xfId="0" applyFont="1" applyFill="1" applyAlignment="1" applyProtection="1">
      <alignment horizontal="center" vertical="center"/>
      <protection hidden="1"/>
    </xf>
    <xf numFmtId="0" fontId="65" fillId="8" borderId="32" xfId="0" applyFont="1" applyFill="1" applyBorder="1" applyAlignment="1" applyProtection="1">
      <alignment horizontal="center" vertical="center"/>
      <protection hidden="1"/>
    </xf>
    <xf numFmtId="0" fontId="65" fillId="8" borderId="33" xfId="0" applyFont="1" applyFill="1" applyBorder="1" applyAlignment="1" applyProtection="1">
      <alignment horizontal="center" vertical="center"/>
      <protection hidden="1"/>
    </xf>
    <xf numFmtId="0" fontId="33" fillId="8" borderId="0" xfId="0" applyFont="1" applyFill="1" applyProtection="1">
      <protection hidden="1"/>
    </xf>
    <xf numFmtId="0" fontId="0" fillId="0" borderId="72" xfId="0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shrinkToFit="1"/>
      <protection hidden="1"/>
    </xf>
    <xf numFmtId="0" fontId="46" fillId="16" borderId="0" xfId="0" applyFont="1" applyFill="1" applyAlignment="1" applyProtection="1">
      <alignment horizontal="center" vertical="center" shrinkToFit="1"/>
      <protection hidden="1"/>
    </xf>
    <xf numFmtId="0" fontId="26" fillId="0" borderId="0" xfId="0" applyFont="1" applyAlignment="1" applyProtection="1">
      <alignment horizontal="center" vertical="center" shrinkToFit="1"/>
      <protection hidden="1"/>
    </xf>
    <xf numFmtId="0" fontId="47" fillId="2" borderId="25" xfId="0" applyFont="1" applyFill="1" applyBorder="1" applyAlignment="1" applyProtection="1">
      <alignment horizontal="center" vertical="center" shrinkToFit="1"/>
      <protection hidden="1"/>
    </xf>
    <xf numFmtId="0" fontId="32" fillId="2" borderId="10" xfId="0" applyFont="1" applyFill="1" applyBorder="1" applyAlignment="1" applyProtection="1">
      <alignment horizontal="center" vertical="center" shrinkToFit="1"/>
      <protection hidden="1"/>
    </xf>
    <xf numFmtId="0" fontId="32" fillId="2" borderId="0" xfId="0" applyFont="1" applyFill="1" applyAlignment="1" applyProtection="1">
      <alignment horizontal="center" vertical="center" shrinkToFit="1"/>
      <protection hidden="1"/>
    </xf>
    <xf numFmtId="0" fontId="45" fillId="0" borderId="0" xfId="0" applyFont="1" applyAlignment="1" applyProtection="1">
      <alignment horizontal="center" vertical="center" shrinkToFit="1"/>
      <protection hidden="1"/>
    </xf>
    <xf numFmtId="0" fontId="32" fillId="0" borderId="24" xfId="0" applyFont="1" applyBorder="1" applyAlignment="1" applyProtection="1">
      <alignment horizontal="center" vertical="center" shrinkToFit="1"/>
      <protection hidden="1"/>
    </xf>
    <xf numFmtId="0" fontId="0" fillId="0" borderId="33" xfId="0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26" fillId="0" borderId="0" xfId="0" applyFont="1" applyAlignment="1" applyProtection="1">
      <alignment shrinkToFit="1"/>
      <protection hidden="1"/>
    </xf>
    <xf numFmtId="0" fontId="33" fillId="13" borderId="0" xfId="0" applyFont="1" applyFill="1" applyProtection="1">
      <protection hidden="1"/>
    </xf>
    <xf numFmtId="0" fontId="0" fillId="13" borderId="0" xfId="0" applyFill="1" applyProtection="1">
      <protection hidden="1"/>
    </xf>
    <xf numFmtId="0" fontId="27" fillId="13" borderId="0" xfId="0" applyFont="1" applyFill="1" applyProtection="1">
      <protection hidden="1"/>
    </xf>
    <xf numFmtId="0" fontId="23" fillId="0" borderId="0" xfId="0" applyFont="1" applyAlignment="1" applyProtection="1">
      <alignment vertical="center" shrinkToFit="1"/>
      <protection hidden="1"/>
    </xf>
    <xf numFmtId="0" fontId="49" fillId="0" borderId="22" xfId="0" applyFont="1" applyBorder="1" applyAlignment="1" applyProtection="1">
      <alignment vertical="center"/>
      <protection hidden="1"/>
    </xf>
    <xf numFmtId="0" fontId="49" fillId="0" borderId="23" xfId="0" applyFont="1" applyBorder="1" applyAlignment="1" applyProtection="1">
      <alignment vertical="center"/>
      <protection hidden="1"/>
    </xf>
    <xf numFmtId="0" fontId="26" fillId="4" borderId="39" xfId="0" applyFont="1" applyFill="1" applyBorder="1" applyAlignment="1" applyProtection="1">
      <alignment horizontal="center" vertical="center"/>
      <protection hidden="1"/>
    </xf>
    <xf numFmtId="0" fontId="44" fillId="20" borderId="0" xfId="0" applyFont="1" applyFill="1" applyAlignment="1" applyProtection="1">
      <alignment horizontal="center" vertical="center"/>
      <protection hidden="1"/>
    </xf>
    <xf numFmtId="0" fontId="0" fillId="0" borderId="45" xfId="0" applyBorder="1" applyProtection="1">
      <protection hidden="1"/>
    </xf>
    <xf numFmtId="0" fontId="13" fillId="13" borderId="0" xfId="0" applyFont="1" applyFill="1" applyProtection="1">
      <protection hidden="1"/>
    </xf>
    <xf numFmtId="0" fontId="32" fillId="0" borderId="73" xfId="0" applyFont="1" applyBorder="1" applyAlignment="1" applyProtection="1">
      <alignment vertical="center" textRotation="90" shrinkToFit="1"/>
      <protection hidden="1"/>
    </xf>
    <xf numFmtId="0" fontId="0" fillId="0" borderId="73" xfId="0" applyBorder="1" applyAlignment="1" applyProtection="1">
      <alignment horizontal="center" vertical="center" shrinkToFit="1"/>
      <protection hidden="1"/>
    </xf>
    <xf numFmtId="0" fontId="11" fillId="0" borderId="23" xfId="0" applyFont="1" applyBorder="1" applyAlignment="1" applyProtection="1">
      <alignment vertical="center"/>
      <protection hidden="1"/>
    </xf>
    <xf numFmtId="0" fontId="49" fillId="0" borderId="9" xfId="0" applyFont="1" applyBorder="1" applyAlignment="1" applyProtection="1">
      <alignment horizontal="center" vertical="center"/>
      <protection hidden="1"/>
    </xf>
    <xf numFmtId="0" fontId="0" fillId="4" borderId="17" xfId="0" applyFill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vertical="center"/>
      <protection hidden="1"/>
    </xf>
    <xf numFmtId="0" fontId="29" fillId="4" borderId="0" xfId="0" applyFont="1" applyFill="1" applyAlignment="1" applyProtection="1">
      <alignment vertical="center"/>
      <protection hidden="1"/>
    </xf>
    <xf numFmtId="0" fontId="29" fillId="0" borderId="17" xfId="0" applyFont="1" applyBorder="1" applyAlignment="1" applyProtection="1">
      <alignment vertical="center"/>
      <protection hidden="1"/>
    </xf>
    <xf numFmtId="0" fontId="2" fillId="5" borderId="6" xfId="0" applyFont="1" applyFill="1" applyBorder="1" applyAlignment="1" applyProtection="1">
      <alignment horizontal="center" vertical="center"/>
      <protection hidden="1"/>
    </xf>
    <xf numFmtId="0" fontId="31" fillId="12" borderId="6" xfId="0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32" fillId="0" borderId="73" xfId="0" applyFont="1" applyBorder="1" applyAlignment="1" applyProtection="1">
      <alignment horizontal="center" vertical="top" shrinkToFit="1"/>
      <protection hidden="1"/>
    </xf>
    <xf numFmtId="0" fontId="0" fillId="27" borderId="0" xfId="0" applyFill="1" applyAlignment="1" applyProtection="1">
      <alignment horizontal="center" vertical="center"/>
      <protection hidden="1"/>
    </xf>
    <xf numFmtId="0" fontId="0" fillId="27" borderId="0" xfId="0" applyFill="1" applyAlignment="1" applyProtection="1">
      <alignment horizontal="center" vertical="center" wrapText="1"/>
      <protection hidden="1"/>
    </xf>
    <xf numFmtId="0" fontId="0" fillId="27" borderId="0" xfId="0" applyFill="1" applyProtection="1">
      <protection hidden="1"/>
    </xf>
    <xf numFmtId="0" fontId="1" fillId="0" borderId="20" xfId="0" applyFont="1" applyBorder="1" applyAlignment="1" applyProtection="1">
      <alignment horizontal="center" vertical="center" shrinkToFit="1"/>
      <protection hidden="1"/>
    </xf>
    <xf numFmtId="0" fontId="75" fillId="0" borderId="18" xfId="0" applyFont="1" applyBorder="1" applyAlignment="1" applyProtection="1">
      <alignment horizontal="right" vertical="center" shrinkToFit="1"/>
      <protection hidden="1"/>
    </xf>
    <xf numFmtId="0" fontId="1" fillId="0" borderId="18" xfId="0" applyFont="1" applyBorder="1" applyAlignment="1" applyProtection="1">
      <alignment horizontal="right" vertical="center" shrinkToFit="1"/>
      <protection hidden="1"/>
    </xf>
    <xf numFmtId="0" fontId="75" fillId="0" borderId="19" xfId="0" applyFont="1" applyBorder="1" applyAlignment="1" applyProtection="1">
      <alignment horizontal="right" vertical="center" shrinkToFit="1"/>
      <protection hidden="1"/>
    </xf>
    <xf numFmtId="0" fontId="8" fillId="3" borderId="18" xfId="0" applyFont="1" applyFill="1" applyBorder="1" applyAlignment="1" applyProtection="1">
      <alignment horizontal="center" vertical="center" shrinkToFit="1"/>
      <protection hidden="1"/>
    </xf>
    <xf numFmtId="0" fontId="44" fillId="0" borderId="0" xfId="0" applyFont="1" applyAlignment="1" applyProtection="1">
      <alignment horizontal="center" vertical="center"/>
      <protection hidden="1"/>
    </xf>
    <xf numFmtId="0" fontId="8" fillId="0" borderId="18" xfId="0" applyFont="1" applyBorder="1" applyAlignment="1" applyProtection="1">
      <alignment vertical="center" shrinkToFit="1"/>
      <protection hidden="1"/>
    </xf>
    <xf numFmtId="0" fontId="77" fillId="0" borderId="18" xfId="0" applyFont="1" applyBorder="1" applyAlignment="1" applyProtection="1">
      <alignment horizontal="center" vertical="center" shrinkToFit="1"/>
      <protection hidden="1"/>
    </xf>
    <xf numFmtId="0" fontId="77" fillId="0" borderId="0" xfId="0" applyFont="1" applyAlignment="1" applyProtection="1">
      <alignment shrinkToFit="1"/>
      <protection hidden="1"/>
    </xf>
    <xf numFmtId="0" fontId="77" fillId="3" borderId="18" xfId="0" applyFont="1" applyFill="1" applyBorder="1" applyAlignment="1" applyProtection="1">
      <alignment vertical="center" shrinkToFit="1"/>
      <protection hidden="1"/>
    </xf>
    <xf numFmtId="0" fontId="77" fillId="3" borderId="116" xfId="0" applyFont="1" applyFill="1" applyBorder="1" applyAlignment="1" applyProtection="1">
      <alignment vertical="center" shrinkToFit="1"/>
      <protection hidden="1"/>
    </xf>
    <xf numFmtId="0" fontId="75" fillId="24" borderId="0" xfId="0" applyFont="1" applyFill="1" applyAlignment="1" applyProtection="1">
      <alignment horizontal="center" vertical="center" shrinkToFit="1"/>
      <protection hidden="1"/>
    </xf>
    <xf numFmtId="164" fontId="75" fillId="24" borderId="0" xfId="0" applyNumberFormat="1" applyFont="1" applyFill="1" applyAlignment="1" applyProtection="1">
      <alignment horizontal="center" vertical="center" shrinkToFit="1"/>
      <protection hidden="1"/>
    </xf>
    <xf numFmtId="164" fontId="75" fillId="24" borderId="118" xfId="0" applyNumberFormat="1" applyFont="1" applyFill="1" applyBorder="1" applyAlignment="1" applyProtection="1">
      <alignment horizontal="center" vertical="center" shrinkToFit="1"/>
      <protection hidden="1"/>
    </xf>
    <xf numFmtId="0" fontId="26" fillId="0" borderId="0" xfId="0" applyFont="1" applyProtection="1"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vertical="top" wrapText="1"/>
      <protection hidden="1"/>
    </xf>
    <xf numFmtId="0" fontId="48" fillId="11" borderId="117" xfId="0" applyFont="1" applyFill="1" applyBorder="1" applyAlignment="1">
      <alignment vertical="center" wrapText="1"/>
    </xf>
    <xf numFmtId="0" fontId="48" fillId="11" borderId="118" xfId="0" applyFont="1" applyFill="1" applyBorder="1" applyAlignment="1">
      <alignment vertical="center" wrapText="1"/>
    </xf>
    <xf numFmtId="0" fontId="71" fillId="3" borderId="133" xfId="0" applyFont="1" applyFill="1" applyBorder="1" applyAlignment="1">
      <alignment horizontal="center" vertical="center"/>
    </xf>
    <xf numFmtId="0" fontId="71" fillId="3" borderId="28" xfId="0" applyFont="1" applyFill="1" applyBorder="1" applyAlignment="1">
      <alignment horizontal="center" vertical="center"/>
    </xf>
    <xf numFmtId="1" fontId="71" fillId="3" borderId="134" xfId="0" applyNumberFormat="1" applyFont="1" applyFill="1" applyBorder="1" applyAlignment="1">
      <alignment horizontal="center"/>
    </xf>
    <xf numFmtId="0" fontId="71" fillId="3" borderId="134" xfId="0" applyFont="1" applyFill="1" applyBorder="1" applyAlignment="1">
      <alignment horizontal="center"/>
    </xf>
    <xf numFmtId="0" fontId="71" fillId="3" borderId="133" xfId="0" applyFont="1" applyFill="1" applyBorder="1" applyAlignment="1">
      <alignment horizontal="center"/>
    </xf>
    <xf numFmtId="0" fontId="71" fillId="3" borderId="28" xfId="0" applyFont="1" applyFill="1" applyBorder="1" applyAlignment="1">
      <alignment horizontal="center"/>
    </xf>
    <xf numFmtId="0" fontId="80" fillId="3" borderId="28" xfId="0" applyFont="1" applyFill="1" applyBorder="1" applyAlignment="1">
      <alignment horizontal="center"/>
    </xf>
    <xf numFmtId="0" fontId="71" fillId="3" borderId="28" xfId="0" applyFont="1" applyFill="1" applyBorder="1"/>
    <xf numFmtId="0" fontId="71" fillId="3" borderId="134" xfId="0" applyFont="1" applyFill="1" applyBorder="1" applyAlignment="1">
      <alignment horizontal="center" vertical="center"/>
    </xf>
    <xf numFmtId="0" fontId="86" fillId="13" borderId="122" xfId="0" applyFont="1" applyFill="1" applyBorder="1" applyAlignment="1" applyProtection="1">
      <alignment horizontal="center" vertical="center" shrinkToFit="1"/>
      <protection hidden="1"/>
    </xf>
    <xf numFmtId="0" fontId="88" fillId="6" borderId="122" xfId="0" applyFont="1" applyFill="1" applyBorder="1" applyAlignment="1" applyProtection="1">
      <alignment horizontal="center" vertical="center" shrinkToFit="1"/>
      <protection hidden="1"/>
    </xf>
    <xf numFmtId="0" fontId="89" fillId="3" borderId="122" xfId="1" applyFont="1" applyFill="1" applyBorder="1" applyAlignment="1" applyProtection="1">
      <alignment horizontal="center" vertical="center" shrinkToFit="1"/>
      <protection hidden="1"/>
    </xf>
    <xf numFmtId="0" fontId="86" fillId="27" borderId="122" xfId="0" applyFont="1" applyFill="1" applyBorder="1" applyAlignment="1" applyProtection="1">
      <alignment horizontal="center" vertical="center" shrinkToFit="1"/>
      <protection hidden="1"/>
    </xf>
    <xf numFmtId="0" fontId="90" fillId="12" borderId="122" xfId="0" applyFont="1" applyFill="1" applyBorder="1" applyAlignment="1" applyProtection="1">
      <alignment horizontal="center" vertical="center" shrinkToFit="1"/>
      <protection hidden="1"/>
    </xf>
    <xf numFmtId="0" fontId="91" fillId="12" borderId="122" xfId="0" applyFont="1" applyFill="1" applyBorder="1" applyAlignment="1" applyProtection="1">
      <alignment horizontal="center" vertical="center" shrinkToFit="1"/>
      <protection hidden="1"/>
    </xf>
    <xf numFmtId="0" fontId="89" fillId="3" borderId="122" xfId="0" applyFont="1" applyFill="1" applyBorder="1" applyAlignment="1" applyProtection="1">
      <alignment horizontal="center" vertical="center" shrinkToFit="1"/>
      <protection hidden="1"/>
    </xf>
    <xf numFmtId="0" fontId="92" fillId="6" borderId="122" xfId="1" applyFont="1" applyFill="1" applyBorder="1" applyAlignment="1" applyProtection="1">
      <alignment horizontal="center" vertical="center" shrinkToFit="1"/>
      <protection hidden="1"/>
    </xf>
    <xf numFmtId="0" fontId="86" fillId="12" borderId="122" xfId="0" applyFont="1" applyFill="1" applyBorder="1" applyAlignment="1" applyProtection="1">
      <alignment horizontal="center" vertical="center" shrinkToFit="1"/>
      <protection hidden="1"/>
    </xf>
    <xf numFmtId="0" fontId="93" fillId="6" borderId="122" xfId="0" applyFont="1" applyFill="1" applyBorder="1" applyAlignment="1" applyProtection="1">
      <alignment horizontal="center" vertical="center" shrinkToFit="1"/>
      <protection hidden="1"/>
    </xf>
    <xf numFmtId="49" fontId="89" fillId="3" borderId="122" xfId="0" applyNumberFormat="1" applyFont="1" applyFill="1" applyBorder="1" applyAlignment="1" applyProtection="1">
      <alignment horizontal="center" vertical="center" shrinkToFit="1"/>
      <protection hidden="1"/>
    </xf>
    <xf numFmtId="0" fontId="90" fillId="0" borderId="122" xfId="0" applyFont="1" applyBorder="1" applyAlignment="1" applyProtection="1">
      <alignment horizontal="center" vertical="center" shrinkToFit="1"/>
      <protection hidden="1"/>
    </xf>
    <xf numFmtId="14" fontId="94" fillId="0" borderId="122" xfId="0" applyNumberFormat="1" applyFont="1" applyBorder="1" applyAlignment="1" applyProtection="1">
      <alignment horizontal="center" vertical="center" shrinkToFit="1"/>
      <protection hidden="1"/>
    </xf>
    <xf numFmtId="0" fontId="29" fillId="0" borderId="0" xfId="0" applyFont="1" applyAlignment="1">
      <alignment horizontal="center" vertical="center"/>
    </xf>
    <xf numFmtId="0" fontId="65" fillId="14" borderId="25" xfId="0" applyFont="1" applyFill="1" applyBorder="1" applyAlignment="1" applyProtection="1">
      <alignment horizontal="center" vertical="center"/>
      <protection hidden="1"/>
    </xf>
    <xf numFmtId="0" fontId="65" fillId="14" borderId="24" xfId="0" applyFont="1" applyFill="1" applyBorder="1" applyAlignment="1" applyProtection="1">
      <alignment horizontal="center" vertical="center"/>
      <protection hidden="1"/>
    </xf>
    <xf numFmtId="0" fontId="65" fillId="14" borderId="2" xfId="0" applyFont="1" applyFill="1" applyBorder="1" applyAlignment="1" applyProtection="1">
      <alignment horizontal="center" vertical="center"/>
      <protection hidden="1"/>
    </xf>
    <xf numFmtId="0" fontId="26" fillId="14" borderId="72" xfId="0" applyFont="1" applyFill="1" applyBorder="1" applyAlignment="1" applyProtection="1">
      <alignment horizontal="center" vertical="center"/>
      <protection hidden="1"/>
    </xf>
    <xf numFmtId="0" fontId="71" fillId="3" borderId="115" xfId="0" applyFont="1" applyFill="1" applyBorder="1" applyAlignment="1">
      <alignment horizontal="center" vertical="center"/>
    </xf>
    <xf numFmtId="0" fontId="0" fillId="5" borderId="116" xfId="0" applyFill="1" applyBorder="1" applyAlignment="1" applyProtection="1">
      <alignment horizontal="center" vertical="center" wrapText="1"/>
      <protection locked="0"/>
    </xf>
    <xf numFmtId="165" fontId="71" fillId="3" borderId="28" xfId="0" applyNumberFormat="1" applyFont="1" applyFill="1" applyBorder="1" applyAlignment="1">
      <alignment horizontal="center" vertical="center"/>
    </xf>
    <xf numFmtId="165" fontId="89" fillId="3" borderId="122" xfId="0" applyNumberFormat="1" applyFont="1" applyFill="1" applyBorder="1" applyAlignment="1" applyProtection="1">
      <alignment horizontal="center" vertical="center" shrinkToFit="1"/>
      <protection hidden="1"/>
    </xf>
    <xf numFmtId="0" fontId="31" fillId="13" borderId="9" xfId="0" applyFont="1" applyFill="1" applyBorder="1" applyAlignment="1">
      <alignment horizontal="center" vertical="center"/>
    </xf>
    <xf numFmtId="0" fontId="33" fillId="12" borderId="0" xfId="0" applyFont="1" applyFill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74" fillId="0" borderId="0" xfId="0" applyNumberFormat="1" applyFont="1" applyAlignment="1">
      <alignment horizontal="center" vertical="center" shrinkToFit="1"/>
    </xf>
    <xf numFmtId="0" fontId="30" fillId="11" borderId="26" xfId="0" applyFont="1" applyFill="1" applyBorder="1" applyAlignment="1">
      <alignment horizontal="center" vertical="center"/>
    </xf>
    <xf numFmtId="0" fontId="30" fillId="11" borderId="27" xfId="0" applyFont="1" applyFill="1" applyBorder="1" applyAlignment="1">
      <alignment horizontal="center" vertical="center"/>
    </xf>
    <xf numFmtId="49" fontId="30" fillId="11" borderId="2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0" fillId="11" borderId="117" xfId="0" applyFont="1" applyFill="1" applyBorder="1" applyAlignment="1">
      <alignment horizontal="center" vertical="center"/>
    </xf>
    <xf numFmtId="0" fontId="0" fillId="5" borderId="116" xfId="0" applyFill="1" applyBorder="1" applyAlignment="1">
      <alignment horizontal="center" vertical="center" wrapText="1"/>
    </xf>
    <xf numFmtId="0" fontId="96" fillId="11" borderId="26" xfId="0" applyFont="1" applyFill="1" applyBorder="1" applyAlignment="1">
      <alignment horizontal="center" vertical="center"/>
    </xf>
    <xf numFmtId="165" fontId="0" fillId="5" borderId="116" xfId="0" applyNumberForma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18" xfId="0" applyFont="1" applyBorder="1" applyAlignment="1" applyProtection="1">
      <alignment horizontal="center" vertical="center" shrinkToFit="1"/>
      <protection hidden="1"/>
    </xf>
    <xf numFmtId="0" fontId="30" fillId="11" borderId="26" xfId="0" applyFont="1" applyFill="1" applyBorder="1" applyAlignment="1" applyProtection="1">
      <alignment horizontal="center" vertical="center"/>
      <protection hidden="1"/>
    </xf>
    <xf numFmtId="0" fontId="99" fillId="5" borderId="140" xfId="0" applyFont="1" applyFill="1" applyBorder="1" applyAlignment="1" applyProtection="1">
      <alignment horizontal="center" vertical="center" shrinkToFit="1"/>
      <protection hidden="1"/>
    </xf>
    <xf numFmtId="0" fontId="99" fillId="5" borderId="141" xfId="0" applyFont="1" applyFill="1" applyBorder="1" applyAlignment="1" applyProtection="1">
      <alignment horizontal="center" vertical="center" shrinkToFit="1"/>
      <protection hidden="1"/>
    </xf>
    <xf numFmtId="0" fontId="73" fillId="0" borderId="28" xfId="0" applyFont="1" applyBorder="1" applyAlignment="1">
      <alignment horizontal="center" vertical="center"/>
    </xf>
    <xf numFmtId="49" fontId="0" fillId="5" borderId="28" xfId="0" applyNumberFormat="1" applyFill="1" applyBorder="1" applyAlignment="1" applyProtection="1">
      <alignment horizontal="center" vertical="center" wrapText="1"/>
      <protection locked="0"/>
    </xf>
    <xf numFmtId="0" fontId="0" fillId="5" borderId="28" xfId="0" applyFill="1" applyBorder="1" applyAlignment="1" applyProtection="1">
      <alignment horizontal="center" vertical="center" wrapText="1"/>
      <protection locked="0"/>
    </xf>
    <xf numFmtId="0" fontId="0" fillId="5" borderId="142" xfId="0" applyFill="1" applyBorder="1" applyAlignment="1" applyProtection="1">
      <alignment horizontal="center" vertical="center" wrapText="1"/>
      <protection locked="0"/>
    </xf>
    <xf numFmtId="0" fontId="0" fillId="5" borderId="143" xfId="0" applyFill="1" applyBorder="1" applyAlignment="1">
      <alignment horizontal="center" vertical="center" wrapText="1"/>
    </xf>
    <xf numFmtId="165" fontId="0" fillId="5" borderId="143" xfId="0" applyNumberFormat="1" applyFill="1" applyBorder="1" applyAlignment="1">
      <alignment horizontal="center" vertical="center" wrapText="1"/>
    </xf>
    <xf numFmtId="0" fontId="60" fillId="21" borderId="82" xfId="1" applyFont="1" applyFill="1" applyBorder="1" applyAlignment="1">
      <alignment horizontal="right"/>
    </xf>
    <xf numFmtId="0" fontId="60" fillId="21" borderId="56" xfId="1" applyFont="1" applyFill="1" applyBorder="1" applyAlignment="1">
      <alignment horizontal="right"/>
    </xf>
    <xf numFmtId="0" fontId="60" fillId="21" borderId="83" xfId="1" applyFont="1" applyFill="1" applyBorder="1" applyAlignment="1">
      <alignment horizontal="right"/>
    </xf>
    <xf numFmtId="0" fontId="58" fillId="21" borderId="102" xfId="0" applyFont="1" applyFill="1" applyBorder="1" applyAlignment="1">
      <alignment horizontal="right" vertical="center"/>
    </xf>
    <xf numFmtId="0" fontId="58" fillId="21" borderId="78" xfId="0" applyFont="1" applyFill="1" applyBorder="1" applyAlignment="1">
      <alignment horizontal="right" vertical="center"/>
    </xf>
    <xf numFmtId="0" fontId="58" fillId="21" borderId="103" xfId="0" applyFont="1" applyFill="1" applyBorder="1" applyAlignment="1">
      <alignment horizontal="right" vertical="center"/>
    </xf>
    <xf numFmtId="9" fontId="58" fillId="21" borderId="94" xfId="1" applyNumberFormat="1" applyFont="1" applyFill="1" applyBorder="1" applyAlignment="1">
      <alignment horizontal="right" vertical="center"/>
    </xf>
    <xf numFmtId="0" fontId="58" fillId="21" borderId="95" xfId="1" applyFont="1" applyFill="1" applyBorder="1" applyAlignment="1">
      <alignment horizontal="right" vertical="center"/>
    </xf>
    <xf numFmtId="0" fontId="53" fillId="0" borderId="0" xfId="0" applyFont="1" applyAlignment="1">
      <alignment horizontal="center"/>
    </xf>
    <xf numFmtId="0" fontId="54" fillId="0" borderId="9" xfId="0" applyFont="1" applyBorder="1" applyAlignment="1">
      <alignment horizontal="right"/>
    </xf>
    <xf numFmtId="0" fontId="63" fillId="21" borderId="91" xfId="0" applyFont="1" applyFill="1" applyBorder="1" applyAlignment="1">
      <alignment horizontal="center" vertical="center"/>
    </xf>
    <xf numFmtId="0" fontId="61" fillId="21" borderId="92" xfId="0" applyFont="1" applyFill="1" applyBorder="1" applyAlignment="1">
      <alignment horizontal="center" vertical="center"/>
    </xf>
    <xf numFmtId="0" fontId="61" fillId="21" borderId="93" xfId="0" applyFont="1" applyFill="1" applyBorder="1" applyAlignment="1">
      <alignment horizontal="center" vertical="center"/>
    </xf>
    <xf numFmtId="0" fontId="61" fillId="21" borderId="94" xfId="0" applyFont="1" applyFill="1" applyBorder="1" applyAlignment="1">
      <alignment horizontal="center" vertical="center"/>
    </xf>
    <xf numFmtId="0" fontId="61" fillId="21" borderId="98" xfId="0" applyFont="1" applyFill="1" applyBorder="1" applyAlignment="1">
      <alignment horizontal="center" vertical="center"/>
    </xf>
    <xf numFmtId="0" fontId="61" fillId="21" borderId="99" xfId="0" applyFont="1" applyFill="1" applyBorder="1" applyAlignment="1">
      <alignment horizontal="center" vertical="center"/>
    </xf>
    <xf numFmtId="0" fontId="61" fillId="21" borderId="100" xfId="0" applyFont="1" applyFill="1" applyBorder="1" applyAlignment="1">
      <alignment horizontal="center" vertical="center"/>
    </xf>
    <xf numFmtId="0" fontId="61" fillId="21" borderId="101" xfId="0" applyFont="1" applyFill="1" applyBorder="1" applyAlignment="1">
      <alignment horizontal="center" vertical="center"/>
    </xf>
    <xf numFmtId="0" fontId="60" fillId="21" borderId="79" xfId="1" applyFont="1" applyFill="1" applyBorder="1" applyAlignment="1">
      <alignment horizontal="right"/>
    </xf>
    <xf numFmtId="0" fontId="60" fillId="21" borderId="80" xfId="1" applyFont="1" applyFill="1" applyBorder="1" applyAlignment="1">
      <alignment horizontal="right"/>
    </xf>
    <xf numFmtId="0" fontId="60" fillId="21" borderId="81" xfId="1" applyFont="1" applyFill="1" applyBorder="1" applyAlignment="1">
      <alignment horizontal="right"/>
    </xf>
    <xf numFmtId="0" fontId="58" fillId="21" borderId="82" xfId="0" applyFont="1" applyFill="1" applyBorder="1" applyAlignment="1">
      <alignment horizontal="center"/>
    </xf>
    <xf numFmtId="0" fontId="58" fillId="21" borderId="56" xfId="0" applyFont="1" applyFill="1" applyBorder="1" applyAlignment="1">
      <alignment horizontal="center"/>
    </xf>
    <xf numFmtId="0" fontId="58" fillId="21" borderId="93" xfId="0" applyFont="1" applyFill="1" applyBorder="1" applyAlignment="1">
      <alignment horizontal="right" vertical="center"/>
    </xf>
    <xf numFmtId="0" fontId="58" fillId="21" borderId="94" xfId="0" applyFont="1" applyFill="1" applyBorder="1" applyAlignment="1">
      <alignment horizontal="right" vertical="center"/>
    </xf>
    <xf numFmtId="0" fontId="58" fillId="21" borderId="82" xfId="0" applyFont="1" applyFill="1" applyBorder="1" applyAlignment="1">
      <alignment horizontal="right"/>
    </xf>
    <xf numFmtId="0" fontId="58" fillId="21" borderId="56" xfId="0" applyFont="1" applyFill="1" applyBorder="1" applyAlignment="1">
      <alignment horizontal="right"/>
    </xf>
    <xf numFmtId="0" fontId="58" fillId="21" borderId="83" xfId="0" applyFont="1" applyFill="1" applyBorder="1" applyAlignment="1">
      <alignment horizontal="right"/>
    </xf>
    <xf numFmtId="0" fontId="58" fillId="21" borderId="102" xfId="0" applyFont="1" applyFill="1" applyBorder="1" applyAlignment="1">
      <alignment horizontal="right" vertical="center" wrapText="1"/>
    </xf>
    <xf numFmtId="0" fontId="58" fillId="21" borderId="78" xfId="0" applyFont="1" applyFill="1" applyBorder="1" applyAlignment="1">
      <alignment horizontal="right" vertical="center" wrapText="1"/>
    </xf>
    <xf numFmtId="0" fontId="58" fillId="21" borderId="103" xfId="0" applyFont="1" applyFill="1" applyBorder="1" applyAlignment="1">
      <alignment horizontal="right" vertical="center" wrapText="1"/>
    </xf>
    <xf numFmtId="0" fontId="64" fillId="21" borderId="94" xfId="0" applyFont="1" applyFill="1" applyBorder="1" applyAlignment="1">
      <alignment horizontal="right" vertical="center"/>
    </xf>
    <xf numFmtId="0" fontId="64" fillId="21" borderId="95" xfId="0" applyFont="1" applyFill="1" applyBorder="1" applyAlignment="1">
      <alignment horizontal="right" vertical="center"/>
    </xf>
    <xf numFmtId="0" fontId="58" fillId="21" borderId="102" xfId="0" applyFont="1" applyFill="1" applyBorder="1" applyAlignment="1">
      <alignment horizontal="right"/>
    </xf>
    <xf numFmtId="0" fontId="58" fillId="21" borderId="78" xfId="0" applyFont="1" applyFill="1" applyBorder="1" applyAlignment="1">
      <alignment horizontal="right"/>
    </xf>
    <xf numFmtId="0" fontId="58" fillId="21" borderId="103" xfId="0" applyFont="1" applyFill="1" applyBorder="1" applyAlignment="1">
      <alignment horizontal="right"/>
    </xf>
    <xf numFmtId="9" fontId="58" fillId="21" borderId="94" xfId="0" applyNumberFormat="1" applyFont="1" applyFill="1" applyBorder="1" applyAlignment="1">
      <alignment horizontal="right" vertical="center"/>
    </xf>
    <xf numFmtId="0" fontId="58" fillId="21" borderId="95" xfId="0" applyFont="1" applyFill="1" applyBorder="1" applyAlignment="1">
      <alignment horizontal="right" vertical="center"/>
    </xf>
    <xf numFmtId="0" fontId="58" fillId="21" borderId="93" xfId="0" applyFont="1" applyFill="1" applyBorder="1" applyAlignment="1">
      <alignment horizontal="right" vertical="center" wrapText="1"/>
    </xf>
    <xf numFmtId="0" fontId="58" fillId="21" borderId="94" xfId="0" applyFont="1" applyFill="1" applyBorder="1" applyAlignment="1">
      <alignment horizontal="right" vertical="center" wrapText="1"/>
    </xf>
    <xf numFmtId="9" fontId="58" fillId="13" borderId="94" xfId="0" applyNumberFormat="1" applyFont="1" applyFill="1" applyBorder="1" applyAlignment="1">
      <alignment horizontal="right"/>
    </xf>
    <xf numFmtId="0" fontId="58" fillId="13" borderId="95" xfId="0" applyFont="1" applyFill="1" applyBorder="1" applyAlignment="1">
      <alignment horizontal="right"/>
    </xf>
    <xf numFmtId="0" fontId="58" fillId="13" borderId="94" xfId="0" applyFont="1" applyFill="1" applyBorder="1" applyAlignment="1">
      <alignment horizontal="right"/>
    </xf>
    <xf numFmtId="0" fontId="58" fillId="21" borderId="84" xfId="0" applyFont="1" applyFill="1" applyBorder="1" applyAlignment="1">
      <alignment horizontal="right"/>
    </xf>
    <xf numFmtId="0" fontId="58" fillId="21" borderId="85" xfId="0" applyFont="1" applyFill="1" applyBorder="1" applyAlignment="1">
      <alignment horizontal="right"/>
    </xf>
    <xf numFmtId="0" fontId="58" fillId="21" borderId="86" xfId="0" applyFont="1" applyFill="1" applyBorder="1" applyAlignment="1">
      <alignment horizontal="right"/>
    </xf>
    <xf numFmtId="0" fontId="59" fillId="21" borderId="56" xfId="1" applyFont="1" applyFill="1" applyBorder="1" applyAlignment="1">
      <alignment horizontal="center"/>
    </xf>
    <xf numFmtId="0" fontId="59" fillId="21" borderId="83" xfId="1" applyFont="1" applyFill="1" applyBorder="1" applyAlignment="1">
      <alignment horizontal="center"/>
    </xf>
    <xf numFmtId="9" fontId="58" fillId="21" borderId="94" xfId="0" applyNumberFormat="1" applyFont="1" applyFill="1" applyBorder="1" applyAlignment="1">
      <alignment horizontal="right" vertical="center" wrapText="1"/>
    </xf>
    <xf numFmtId="0" fontId="58" fillId="21" borderId="95" xfId="0" applyFont="1" applyFill="1" applyBorder="1" applyAlignment="1">
      <alignment horizontal="right" vertical="center" wrapText="1"/>
    </xf>
    <xf numFmtId="0" fontId="58" fillId="21" borderId="87" xfId="0" applyFont="1" applyFill="1" applyBorder="1" applyAlignment="1">
      <alignment horizontal="center" wrapText="1"/>
    </xf>
    <xf numFmtId="0" fontId="58" fillId="21" borderId="75" xfId="0" applyFont="1" applyFill="1" applyBorder="1" applyAlignment="1">
      <alignment horizontal="center" wrapText="1"/>
    </xf>
    <xf numFmtId="0" fontId="58" fillId="21" borderId="88" xfId="0" applyFont="1" applyFill="1" applyBorder="1" applyAlignment="1">
      <alignment horizontal="center" wrapText="1"/>
    </xf>
    <xf numFmtId="0" fontId="58" fillId="21" borderId="89" xfId="0" applyFont="1" applyFill="1" applyBorder="1" applyAlignment="1">
      <alignment horizontal="center" wrapText="1"/>
    </xf>
    <xf numFmtId="0" fontId="58" fillId="21" borderId="74" xfId="0" applyFont="1" applyFill="1" applyBorder="1" applyAlignment="1">
      <alignment horizontal="center" wrapText="1"/>
    </xf>
    <xf numFmtId="0" fontId="58" fillId="21" borderId="90" xfId="0" applyFont="1" applyFill="1" applyBorder="1" applyAlignment="1">
      <alignment horizontal="center" wrapText="1"/>
    </xf>
    <xf numFmtId="0" fontId="58" fillId="21" borderId="102" xfId="0" applyFont="1" applyFill="1" applyBorder="1" applyAlignment="1">
      <alignment horizontal="right" wrapText="1"/>
    </xf>
    <xf numFmtId="0" fontId="58" fillId="21" borderId="78" xfId="0" applyFont="1" applyFill="1" applyBorder="1" applyAlignment="1">
      <alignment horizontal="right" wrapText="1"/>
    </xf>
    <xf numFmtId="0" fontId="58" fillId="21" borderId="103" xfId="0" applyFont="1" applyFill="1" applyBorder="1" applyAlignment="1">
      <alignment horizontal="right" wrapText="1"/>
    </xf>
    <xf numFmtId="0" fontId="58" fillId="21" borderId="94" xfId="0" applyFont="1" applyFill="1" applyBorder="1" applyAlignment="1">
      <alignment horizontal="right" readingOrder="1"/>
    </xf>
    <xf numFmtId="0" fontId="58" fillId="21" borderId="95" xfId="0" applyFont="1" applyFill="1" applyBorder="1" applyAlignment="1">
      <alignment horizontal="right" readingOrder="1"/>
    </xf>
    <xf numFmtId="0" fontId="58" fillId="21" borderId="104" xfId="0" applyFont="1" applyFill="1" applyBorder="1" applyAlignment="1">
      <alignment horizontal="right" vertical="center"/>
    </xf>
    <xf numFmtId="0" fontId="58" fillId="21" borderId="105" xfId="0" applyFont="1" applyFill="1" applyBorder="1" applyAlignment="1">
      <alignment horizontal="right" vertical="center"/>
    </xf>
    <xf numFmtId="0" fontId="58" fillId="21" borderId="106" xfId="0" applyFont="1" applyFill="1" applyBorder="1" applyAlignment="1">
      <alignment horizontal="right" vertical="center"/>
    </xf>
    <xf numFmtId="9" fontId="58" fillId="21" borderId="96" xfId="0" applyNumberFormat="1" applyFont="1" applyFill="1" applyBorder="1" applyAlignment="1">
      <alignment horizontal="right" vertical="center"/>
    </xf>
    <xf numFmtId="0" fontId="58" fillId="21" borderId="97" xfId="0" applyFont="1" applyFill="1" applyBorder="1" applyAlignment="1">
      <alignment horizontal="right" vertical="center"/>
    </xf>
    <xf numFmtId="0" fontId="57" fillId="0" borderId="22" xfId="0" applyFont="1" applyBorder="1" applyAlignment="1">
      <alignment horizontal="center" wrapText="1"/>
    </xf>
    <xf numFmtId="0" fontId="57" fillId="0" borderId="5" xfId="0" applyFont="1" applyBorder="1" applyAlignment="1">
      <alignment horizontal="center" wrapText="1"/>
    </xf>
    <xf numFmtId="0" fontId="57" fillId="0" borderId="43" xfId="0" applyFont="1" applyBorder="1" applyAlignment="1">
      <alignment horizontal="center" wrapText="1"/>
    </xf>
    <xf numFmtId="0" fontId="57" fillId="0" borderId="23" xfId="0" applyFont="1" applyBorder="1" applyAlignment="1">
      <alignment horizontal="center" wrapText="1"/>
    </xf>
    <xf numFmtId="0" fontId="57" fillId="0" borderId="0" xfId="0" applyFont="1" applyAlignment="1">
      <alignment horizontal="center" wrapText="1"/>
    </xf>
    <xf numFmtId="0" fontId="57" fillId="0" borderId="36" xfId="0" applyFont="1" applyBorder="1" applyAlignment="1">
      <alignment horizontal="center" wrapText="1"/>
    </xf>
    <xf numFmtId="0" fontId="57" fillId="0" borderId="8" xfId="0" applyFont="1" applyBorder="1" applyAlignment="1">
      <alignment horizontal="center" wrapText="1"/>
    </xf>
    <xf numFmtId="0" fontId="57" fillId="0" borderId="9" xfId="0" applyFont="1" applyBorder="1" applyAlignment="1">
      <alignment horizontal="center" wrapText="1"/>
    </xf>
    <xf numFmtId="0" fontId="57" fillId="0" borderId="38" xfId="0" applyFont="1" applyBorder="1" applyAlignment="1">
      <alignment horizontal="center" wrapText="1"/>
    </xf>
    <xf numFmtId="0" fontId="58" fillId="21" borderId="82" xfId="0" applyFont="1" applyFill="1" applyBorder="1" applyAlignment="1">
      <alignment horizontal="right" wrapText="1"/>
    </xf>
    <xf numFmtId="0" fontId="58" fillId="21" borderId="56" xfId="0" applyFont="1" applyFill="1" applyBorder="1" applyAlignment="1">
      <alignment horizontal="right" wrapText="1"/>
    </xf>
    <xf numFmtId="0" fontId="58" fillId="21" borderId="83" xfId="0" applyFont="1" applyFill="1" applyBorder="1" applyAlignment="1">
      <alignment horizontal="right" wrapText="1"/>
    </xf>
    <xf numFmtId="0" fontId="62" fillId="0" borderId="0" xfId="0" applyFont="1" applyAlignment="1">
      <alignment horizontal="center" vertical="center" wrapText="1"/>
    </xf>
    <xf numFmtId="0" fontId="62" fillId="0" borderId="0" xfId="0" applyFont="1" applyAlignment="1">
      <alignment horizontal="center" vertical="center"/>
    </xf>
    <xf numFmtId="0" fontId="58" fillId="21" borderId="75" xfId="0" applyFont="1" applyFill="1" applyBorder="1" applyAlignment="1">
      <alignment horizontal="right" wrapText="1"/>
    </xf>
    <xf numFmtId="0" fontId="58" fillId="21" borderId="0" xfId="0" applyFont="1" applyFill="1" applyAlignment="1">
      <alignment horizontal="right" wrapText="1"/>
    </xf>
    <xf numFmtId="0" fontId="58" fillId="21" borderId="9" xfId="0" applyFont="1" applyFill="1" applyBorder="1" applyAlignment="1">
      <alignment horizontal="right" wrapText="1"/>
    </xf>
    <xf numFmtId="0" fontId="54" fillId="0" borderId="0" xfId="0" applyFont="1" applyAlignment="1">
      <alignment horizontal="right" vertical="center" wrapText="1"/>
    </xf>
    <xf numFmtId="0" fontId="54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2" fillId="26" borderId="0" xfId="0" applyFont="1" applyFill="1" applyAlignment="1">
      <alignment horizontal="center" vertical="center"/>
    </xf>
    <xf numFmtId="0" fontId="83" fillId="0" borderId="0" xfId="0" applyFont="1" applyAlignment="1">
      <alignment horizontal="center" vertical="center" wrapText="1"/>
    </xf>
    <xf numFmtId="0" fontId="81" fillId="6" borderId="0" xfId="0" applyFont="1" applyFill="1" applyAlignment="1" applyProtection="1">
      <alignment horizontal="center"/>
      <protection hidden="1"/>
    </xf>
    <xf numFmtId="164" fontId="84" fillId="3" borderId="45" xfId="0" applyNumberFormat="1" applyFont="1" applyFill="1" applyBorder="1" applyAlignment="1" applyProtection="1">
      <alignment horizontal="center" vertical="center"/>
      <protection hidden="1"/>
    </xf>
    <xf numFmtId="0" fontId="31" fillId="13" borderId="0" xfId="0" applyFont="1" applyFill="1" applyAlignment="1" applyProtection="1">
      <alignment horizontal="center" vertical="center"/>
      <protection hidden="1"/>
    </xf>
    <xf numFmtId="164" fontId="28" fillId="14" borderId="0" xfId="0" applyNumberFormat="1" applyFont="1" applyFill="1" applyAlignment="1" applyProtection="1">
      <alignment horizontal="center" vertical="center" shrinkToFit="1"/>
      <protection hidden="1"/>
    </xf>
    <xf numFmtId="0" fontId="68" fillId="22" borderId="45" xfId="0" applyFont="1" applyFill="1" applyBorder="1" applyAlignment="1" applyProtection="1">
      <alignment horizontal="center" vertical="center"/>
      <protection hidden="1"/>
    </xf>
    <xf numFmtId="164" fontId="28" fillId="14" borderId="45" xfId="0" applyNumberFormat="1" applyFont="1" applyFill="1" applyBorder="1" applyAlignment="1" applyProtection="1">
      <alignment horizontal="center" vertical="center" shrinkToFit="1"/>
      <protection hidden="1"/>
    </xf>
    <xf numFmtId="0" fontId="67" fillId="22" borderId="45" xfId="0" applyFont="1" applyFill="1" applyBorder="1" applyAlignment="1" applyProtection="1">
      <alignment horizontal="center"/>
      <protection hidden="1"/>
    </xf>
    <xf numFmtId="0" fontId="28" fillId="14" borderId="0" xfId="0" applyFont="1" applyFill="1" applyAlignment="1" applyProtection="1">
      <alignment horizontal="center" vertical="center"/>
      <protection locked="0" hidden="1"/>
    </xf>
    <xf numFmtId="164" fontId="27" fillId="14" borderId="45" xfId="0" applyNumberFormat="1" applyFont="1" applyFill="1" applyBorder="1" applyAlignment="1" applyProtection="1">
      <alignment horizontal="center" vertical="center" shrinkToFit="1"/>
      <protection hidden="1"/>
    </xf>
    <xf numFmtId="0" fontId="70" fillId="23" borderId="0" xfId="0" applyFont="1" applyFill="1" applyAlignment="1" applyProtection="1">
      <alignment horizontal="center" vertical="center"/>
      <protection hidden="1"/>
    </xf>
    <xf numFmtId="0" fontId="43" fillId="23" borderId="0" xfId="0" applyFont="1" applyFill="1" applyAlignment="1" applyProtection="1">
      <alignment horizontal="center" vertical="center" shrinkToFit="1"/>
      <protection hidden="1"/>
    </xf>
    <xf numFmtId="164" fontId="69" fillId="14" borderId="45" xfId="0" applyNumberFormat="1" applyFont="1" applyFill="1" applyBorder="1" applyAlignment="1" applyProtection="1">
      <alignment horizontal="center" vertical="center" shrinkToFit="1"/>
      <protection hidden="1"/>
    </xf>
    <xf numFmtId="0" fontId="2" fillId="5" borderId="6" xfId="0" applyFont="1" applyFill="1" applyBorder="1" applyAlignment="1" applyProtection="1">
      <alignment horizontal="center" vertical="center"/>
      <protection hidden="1"/>
    </xf>
    <xf numFmtId="0" fontId="2" fillId="5" borderId="37" xfId="0" applyFont="1" applyFill="1" applyBorder="1" applyAlignment="1" applyProtection="1">
      <alignment horizontal="center" vertical="center"/>
      <protection hidden="1"/>
    </xf>
    <xf numFmtId="0" fontId="2" fillId="5" borderId="30" xfId="0" applyFont="1" applyFill="1" applyBorder="1" applyAlignment="1" applyProtection="1">
      <alignment horizontal="center" vertical="center"/>
      <protection hidden="1"/>
    </xf>
    <xf numFmtId="0" fontId="37" fillId="5" borderId="30" xfId="0" applyFont="1" applyFill="1" applyBorder="1" applyAlignment="1" applyProtection="1">
      <alignment horizontal="center" vertical="center"/>
      <protection hidden="1"/>
    </xf>
    <xf numFmtId="0" fontId="37" fillId="5" borderId="6" xfId="0" applyFont="1" applyFill="1" applyBorder="1" applyAlignment="1" applyProtection="1">
      <alignment horizontal="center" vertical="center"/>
      <protection hidden="1"/>
    </xf>
    <xf numFmtId="0" fontId="37" fillId="5" borderId="37" xfId="0" applyFont="1" applyFill="1" applyBorder="1" applyAlignment="1" applyProtection="1">
      <alignment horizontal="center" vertical="center"/>
      <protection hidden="1"/>
    </xf>
    <xf numFmtId="0" fontId="49" fillId="0" borderId="0" xfId="0" applyFont="1" applyAlignment="1" applyProtection="1">
      <alignment horizontal="center" vertical="center"/>
      <protection hidden="1"/>
    </xf>
    <xf numFmtId="0" fontId="49" fillId="0" borderId="36" xfId="0" applyFont="1" applyBorder="1" applyAlignment="1" applyProtection="1">
      <alignment horizontal="center" vertical="center"/>
      <protection hidden="1"/>
    </xf>
    <xf numFmtId="0" fontId="6" fillId="14" borderId="21" xfId="0" applyFont="1" applyFill="1" applyBorder="1" applyAlignment="1" applyProtection="1">
      <alignment horizontal="center" vertical="center"/>
      <protection hidden="1"/>
    </xf>
    <xf numFmtId="0" fontId="6" fillId="14" borderId="33" xfId="0" applyFont="1" applyFill="1" applyBorder="1" applyAlignment="1" applyProtection="1">
      <alignment horizontal="center" vertical="center" shrinkToFit="1"/>
      <protection hidden="1"/>
    </xf>
    <xf numFmtId="0" fontId="5" fillId="14" borderId="21" xfId="0" applyFont="1" applyFill="1" applyBorder="1" applyAlignment="1" applyProtection="1">
      <alignment horizontal="center" vertical="center" wrapText="1"/>
      <protection hidden="1"/>
    </xf>
    <xf numFmtId="0" fontId="5" fillId="14" borderId="21" xfId="0" applyFont="1" applyFill="1" applyBorder="1" applyAlignment="1" applyProtection="1">
      <alignment horizontal="center" vertical="center" shrinkToFit="1"/>
      <protection hidden="1"/>
    </xf>
    <xf numFmtId="0" fontId="5" fillId="14" borderId="33" xfId="0" applyFont="1" applyFill="1" applyBorder="1" applyAlignment="1" applyProtection="1">
      <alignment horizontal="center" vertical="center" wrapText="1"/>
      <protection hidden="1"/>
    </xf>
    <xf numFmtId="0" fontId="5" fillId="14" borderId="33" xfId="0" applyFont="1" applyFill="1" applyBorder="1" applyAlignment="1" applyProtection="1">
      <alignment horizontal="center" vertical="center" shrinkToFit="1"/>
      <protection hidden="1"/>
    </xf>
    <xf numFmtId="0" fontId="95" fillId="14" borderId="33" xfId="0" applyFont="1" applyFill="1" applyBorder="1" applyAlignment="1" applyProtection="1">
      <alignment horizontal="center" vertical="center" wrapText="1"/>
      <protection hidden="1"/>
    </xf>
    <xf numFmtId="0" fontId="6" fillId="14" borderId="21" xfId="0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6" fillId="14" borderId="33" xfId="0" applyFont="1" applyFill="1" applyBorder="1" applyAlignment="1" applyProtection="1">
      <alignment horizontal="center" vertical="center"/>
      <protection hidden="1"/>
    </xf>
    <xf numFmtId="0" fontId="6" fillId="14" borderId="10" xfId="0" applyFont="1" applyFill="1" applyBorder="1" applyAlignment="1" applyProtection="1">
      <alignment horizontal="center" vertical="center"/>
      <protection hidden="1"/>
    </xf>
    <xf numFmtId="0" fontId="31" fillId="13" borderId="137" xfId="0" applyFont="1" applyFill="1" applyBorder="1" applyAlignment="1">
      <alignment horizontal="center" vertical="center" wrapText="1"/>
    </xf>
    <xf numFmtId="0" fontId="31" fillId="13" borderId="138" xfId="0" applyFont="1" applyFill="1" applyBorder="1" applyAlignment="1">
      <alignment horizontal="center" vertical="center" wrapText="1"/>
    </xf>
    <xf numFmtId="0" fontId="5" fillId="14" borderId="10" xfId="0" applyFont="1" applyFill="1" applyBorder="1" applyAlignment="1" applyProtection="1">
      <alignment horizontal="center" vertical="center"/>
      <protection hidden="1"/>
    </xf>
    <xf numFmtId="0" fontId="5" fillId="14" borderId="10" xfId="0" applyFont="1" applyFill="1" applyBorder="1" applyAlignment="1" applyProtection="1">
      <alignment horizontal="center" vertical="center" shrinkToFit="1"/>
      <protection hidden="1"/>
    </xf>
    <xf numFmtId="0" fontId="5" fillId="14" borderId="33" xfId="0" applyFont="1" applyFill="1" applyBorder="1" applyAlignment="1" applyProtection="1">
      <alignment horizontal="center" vertical="center"/>
      <protection hidden="1"/>
    </xf>
    <xf numFmtId="0" fontId="4" fillId="3" borderId="109" xfId="0" applyFont="1" applyFill="1" applyBorder="1" applyAlignment="1" applyProtection="1">
      <alignment horizontal="center" vertical="center"/>
      <protection hidden="1"/>
    </xf>
    <xf numFmtId="0" fontId="4" fillId="3" borderId="17" xfId="0" applyFont="1" applyFill="1" applyBorder="1" applyAlignment="1" applyProtection="1">
      <alignment horizontal="center" vertical="center"/>
      <protection hidden="1"/>
    </xf>
    <xf numFmtId="0" fontId="4" fillId="3" borderId="39" xfId="0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31" fillId="13" borderId="8" xfId="0" applyFont="1" applyFill="1" applyBorder="1" applyAlignment="1">
      <alignment horizontal="center" vertical="center"/>
    </xf>
    <xf numFmtId="0" fontId="31" fillId="13" borderId="9" xfId="0" applyFont="1" applyFill="1" applyBorder="1" applyAlignment="1">
      <alignment horizontal="center" vertical="center"/>
    </xf>
    <xf numFmtId="0" fontId="5" fillId="14" borderId="21" xfId="0" applyFont="1" applyFill="1" applyBorder="1" applyAlignment="1" applyProtection="1">
      <alignment horizontal="center" vertical="center"/>
      <protection hidden="1"/>
    </xf>
    <xf numFmtId="0" fontId="6" fillId="14" borderId="10" xfId="0" applyFont="1" applyFill="1" applyBorder="1" applyAlignment="1" applyProtection="1">
      <alignment horizontal="center" vertical="center" shrinkToFit="1"/>
      <protection hidden="1"/>
    </xf>
    <xf numFmtId="0" fontId="31" fillId="12" borderId="6" xfId="0" applyFont="1" applyFill="1" applyBorder="1" applyAlignment="1" applyProtection="1">
      <alignment horizontal="center" vertical="center"/>
      <protection hidden="1"/>
    </xf>
    <xf numFmtId="0" fontId="31" fillId="12" borderId="37" xfId="0" applyFont="1" applyFill="1" applyBorder="1" applyAlignment="1" applyProtection="1">
      <alignment horizontal="center" vertical="center"/>
      <protection hidden="1"/>
    </xf>
    <xf numFmtId="0" fontId="38" fillId="13" borderId="0" xfId="1" applyFont="1" applyFill="1" applyBorder="1" applyAlignment="1" applyProtection="1">
      <alignment horizontal="center" vertical="center" wrapText="1"/>
      <protection hidden="1"/>
    </xf>
    <xf numFmtId="0" fontId="31" fillId="12" borderId="30" xfId="0" applyFont="1" applyFill="1" applyBorder="1" applyAlignment="1" applyProtection="1">
      <alignment horizontal="center" vertical="center"/>
      <protection hidden="1"/>
    </xf>
    <xf numFmtId="0" fontId="40" fillId="13" borderId="23" xfId="1" applyFont="1" applyFill="1" applyBorder="1" applyAlignment="1" applyProtection="1">
      <alignment horizontal="center" vertical="center"/>
      <protection hidden="1"/>
    </xf>
    <xf numFmtId="0" fontId="40" fillId="13" borderId="0" xfId="1" applyFont="1" applyFill="1" applyBorder="1" applyAlignment="1" applyProtection="1">
      <alignment horizontal="center" vertical="center"/>
      <protection hidden="1"/>
    </xf>
    <xf numFmtId="0" fontId="40" fillId="13" borderId="23" xfId="1" applyFont="1" applyFill="1" applyBorder="1" applyAlignment="1" applyProtection="1">
      <alignment horizontal="center" vertical="center" wrapText="1"/>
      <protection hidden="1"/>
    </xf>
    <xf numFmtId="0" fontId="40" fillId="13" borderId="0" xfId="1" applyFont="1" applyFill="1" applyBorder="1" applyAlignment="1" applyProtection="1">
      <alignment horizontal="center" vertical="center" wrapText="1"/>
      <protection hidden="1"/>
    </xf>
    <xf numFmtId="0" fontId="86" fillId="27" borderId="122" xfId="0" applyFont="1" applyFill="1" applyBorder="1" applyAlignment="1" applyProtection="1">
      <alignment horizontal="center" vertical="center" shrinkToFit="1"/>
      <protection hidden="1"/>
    </xf>
    <xf numFmtId="0" fontId="86" fillId="13" borderId="122" xfId="0" applyFont="1" applyFill="1" applyBorder="1" applyAlignment="1" applyProtection="1">
      <alignment horizontal="center" vertical="center" shrinkToFit="1"/>
      <protection hidden="1"/>
    </xf>
    <xf numFmtId="0" fontId="87" fillId="3" borderId="122" xfId="1" applyFont="1" applyFill="1" applyBorder="1" applyAlignment="1" applyProtection="1">
      <alignment horizontal="center" vertical="center" wrapText="1" shrinkToFit="1"/>
      <protection hidden="1"/>
    </xf>
    <xf numFmtId="0" fontId="87" fillId="3" borderId="122" xfId="1" applyFont="1" applyFill="1" applyBorder="1" applyAlignment="1" applyProtection="1">
      <alignment horizontal="center" vertical="center" shrinkToFit="1"/>
      <protection hidden="1"/>
    </xf>
    <xf numFmtId="0" fontId="89" fillId="3" borderId="122" xfId="1" applyFont="1" applyFill="1" applyBorder="1" applyAlignment="1" applyProtection="1">
      <alignment horizontal="center" vertical="center" shrinkToFit="1"/>
      <protection hidden="1"/>
    </xf>
    <xf numFmtId="0" fontId="89" fillId="3" borderId="122" xfId="1" applyNumberFormat="1" applyFont="1" applyFill="1" applyBorder="1" applyAlignment="1" applyProtection="1">
      <alignment horizontal="center" vertical="center" shrinkToFit="1"/>
      <protection hidden="1"/>
    </xf>
    <xf numFmtId="165" fontId="89" fillId="3" borderId="122" xfId="1" applyNumberFormat="1" applyFont="1" applyFill="1" applyBorder="1" applyAlignment="1" applyProtection="1">
      <alignment horizontal="center" vertical="center" shrinkToFit="1"/>
      <protection hidden="1"/>
    </xf>
    <xf numFmtId="2" fontId="89" fillId="3" borderId="122" xfId="1" applyNumberFormat="1" applyFont="1" applyFill="1" applyBorder="1" applyAlignment="1" applyProtection="1">
      <alignment horizontal="center" vertical="center" shrinkToFit="1"/>
      <protection hidden="1"/>
    </xf>
    <xf numFmtId="0" fontId="89" fillId="3" borderId="122" xfId="0" applyFont="1" applyFill="1" applyBorder="1" applyAlignment="1" applyProtection="1">
      <alignment horizontal="center" vertical="center" shrinkToFit="1"/>
      <protection hidden="1"/>
    </xf>
    <xf numFmtId="0" fontId="86" fillId="28" borderId="122" xfId="0" applyFont="1" applyFill="1" applyBorder="1" applyAlignment="1" applyProtection="1">
      <alignment horizontal="center" vertical="center" shrinkToFit="1"/>
      <protection hidden="1"/>
    </xf>
    <xf numFmtId="0" fontId="89" fillId="3" borderId="122" xfId="1" applyFont="1" applyFill="1" applyBorder="1" applyAlignment="1" applyProtection="1">
      <alignment horizontal="center" vertical="center" shrinkToFit="1"/>
      <protection locked="0" hidden="1"/>
    </xf>
    <xf numFmtId="49" fontId="89" fillId="3" borderId="122" xfId="1" applyNumberFormat="1" applyFont="1" applyFill="1" applyBorder="1" applyAlignment="1" applyProtection="1">
      <alignment horizontal="center" vertical="center" shrinkToFit="1"/>
      <protection hidden="1"/>
    </xf>
    <xf numFmtId="0" fontId="87" fillId="0" borderId="122" xfId="1" applyFont="1" applyFill="1" applyBorder="1" applyAlignment="1" applyProtection="1">
      <alignment horizontal="center" vertical="center" shrinkToFit="1"/>
      <protection hidden="1"/>
    </xf>
    <xf numFmtId="0" fontId="89" fillId="0" borderId="122" xfId="0" applyFont="1" applyBorder="1" applyAlignment="1" applyProtection="1">
      <alignment horizontal="center" vertical="center" shrinkToFit="1"/>
      <protection hidden="1"/>
    </xf>
    <xf numFmtId="0" fontId="89" fillId="0" borderId="122" xfId="1" applyFont="1" applyFill="1" applyBorder="1" applyAlignment="1" applyProtection="1">
      <alignment horizontal="center" vertical="center" shrinkToFit="1"/>
      <protection hidden="1"/>
    </xf>
    <xf numFmtId="0" fontId="0" fillId="27" borderId="123" xfId="0" applyFill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right" vertical="center" shrinkToFit="1"/>
      <protection hidden="1"/>
    </xf>
    <xf numFmtId="0" fontId="1" fillId="0" borderId="17" xfId="0" applyFont="1" applyBorder="1" applyAlignment="1" applyProtection="1">
      <alignment horizontal="right" vertical="center" shrinkToFit="1"/>
      <protection hidden="1"/>
    </xf>
    <xf numFmtId="0" fontId="1" fillId="0" borderId="119" xfId="0" applyFont="1" applyBorder="1" applyAlignment="1" applyProtection="1">
      <alignment horizontal="right" vertical="center" shrinkToFit="1"/>
      <protection hidden="1"/>
    </xf>
    <xf numFmtId="0" fontId="78" fillId="6" borderId="1" xfId="0" applyFont="1" applyFill="1" applyBorder="1" applyAlignment="1" applyProtection="1">
      <alignment horizontal="center" vertical="center" shrinkToFit="1"/>
      <protection hidden="1"/>
    </xf>
    <xf numFmtId="0" fontId="78" fillId="6" borderId="17" xfId="0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Alignment="1" applyProtection="1">
      <alignment horizontal="center" vertical="center" shrinkToFit="1"/>
      <protection hidden="1"/>
    </xf>
    <xf numFmtId="0" fontId="4" fillId="0" borderId="0" xfId="0" applyFont="1" applyAlignment="1" applyProtection="1">
      <alignment horizontal="center" vertical="center" shrinkToFit="1"/>
      <protection hidden="1"/>
    </xf>
    <xf numFmtId="0" fontId="7" fillId="0" borderId="0" xfId="0" applyFont="1" applyAlignment="1" applyProtection="1">
      <alignment horizontal="right" vertical="top" shrinkToFit="1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77" fillId="0" borderId="115" xfId="0" applyFont="1" applyBorder="1" applyAlignment="1" applyProtection="1">
      <alignment horizontal="right" vertical="center" shrinkToFit="1"/>
      <protection hidden="1"/>
    </xf>
    <xf numFmtId="0" fontId="77" fillId="0" borderId="18" xfId="0" applyFont="1" applyBorder="1" applyAlignment="1" applyProtection="1">
      <alignment horizontal="right" vertical="center" shrinkToFit="1"/>
      <protection hidden="1"/>
    </xf>
    <xf numFmtId="164" fontId="77" fillId="3" borderId="18" xfId="0" applyNumberFormat="1" applyFont="1" applyFill="1" applyBorder="1" applyAlignment="1" applyProtection="1">
      <alignment horizontal="right" vertical="center" shrinkToFit="1"/>
      <protection hidden="1"/>
    </xf>
    <xf numFmtId="164" fontId="77" fillId="3" borderId="116" xfId="0" applyNumberFormat="1" applyFont="1" applyFill="1" applyBorder="1" applyAlignment="1" applyProtection="1">
      <alignment horizontal="right" vertical="center" shrinkToFit="1"/>
      <protection hidden="1"/>
    </xf>
    <xf numFmtId="0" fontId="77" fillId="0" borderId="31" xfId="0" applyFont="1" applyBorder="1" applyAlignment="1" applyProtection="1">
      <alignment horizontal="center" vertical="center" shrinkToFit="1"/>
      <protection hidden="1"/>
    </xf>
    <xf numFmtId="0" fontId="77" fillId="0" borderId="19" xfId="0" applyFont="1" applyBorder="1" applyAlignment="1" applyProtection="1">
      <alignment horizontal="center" vertical="center" shrinkToFit="1"/>
      <protection hidden="1"/>
    </xf>
    <xf numFmtId="164" fontId="8" fillId="3" borderId="19" xfId="0" applyNumberFormat="1" applyFont="1" applyFill="1" applyBorder="1" applyAlignment="1" applyProtection="1">
      <alignment horizontal="center" vertical="center" shrinkToFit="1"/>
      <protection hidden="1"/>
    </xf>
    <xf numFmtId="164" fontId="8" fillId="3" borderId="117" xfId="0" applyNumberFormat="1" applyFont="1" applyFill="1" applyBorder="1" applyAlignment="1" applyProtection="1">
      <alignment horizontal="center" vertical="center" shrinkToFit="1"/>
      <protection hidden="1"/>
    </xf>
    <xf numFmtId="0" fontId="77" fillId="0" borderId="0" xfId="0" applyFont="1" applyAlignment="1" applyProtection="1">
      <alignment horizontal="center" vertical="center" shrinkToFit="1"/>
      <protection hidden="1"/>
    </xf>
    <xf numFmtId="0" fontId="77" fillId="0" borderId="117" xfId="0" applyFont="1" applyBorder="1" applyAlignment="1" applyProtection="1">
      <alignment horizontal="center" vertical="center" shrinkToFit="1"/>
      <protection hidden="1"/>
    </xf>
    <xf numFmtId="0" fontId="77" fillId="0" borderId="118" xfId="0" applyFont="1" applyBorder="1" applyAlignment="1" applyProtection="1">
      <alignment horizontal="center" vertical="center" shrinkToFit="1"/>
      <protection hidden="1"/>
    </xf>
    <xf numFmtId="0" fontId="77" fillId="0" borderId="76" xfId="0" applyFont="1" applyBorder="1" applyAlignment="1" applyProtection="1">
      <alignment horizontal="center" vertical="center" shrinkToFit="1"/>
      <protection hidden="1"/>
    </xf>
    <xf numFmtId="0" fontId="77" fillId="0" borderId="115" xfId="0" applyFont="1" applyBorder="1" applyAlignment="1" applyProtection="1">
      <alignment horizontal="center" vertical="center" shrinkToFit="1"/>
      <protection hidden="1"/>
    </xf>
    <xf numFmtId="0" fontId="77" fillId="0" borderId="18" xfId="0" applyFont="1" applyBorder="1" applyAlignment="1" applyProtection="1">
      <alignment horizontal="center" vertical="center" shrinkToFit="1"/>
      <protection hidden="1"/>
    </xf>
    <xf numFmtId="0" fontId="78" fillId="6" borderId="119" xfId="0" applyFont="1" applyFill="1" applyBorder="1" applyAlignment="1" applyProtection="1">
      <alignment horizontal="center" vertical="center" shrinkToFit="1"/>
      <protection hidden="1"/>
    </xf>
    <xf numFmtId="0" fontId="3" fillId="0" borderId="19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 applyProtection="1">
      <alignment horizontal="center" vertical="center" shrinkToFit="1"/>
      <protection hidden="1"/>
    </xf>
    <xf numFmtId="0" fontId="3" fillId="0" borderId="0" xfId="0" applyFont="1" applyAlignment="1" applyProtection="1">
      <alignment horizontal="center" vertical="center" shrinkToFit="1"/>
      <protection hidden="1"/>
    </xf>
    <xf numFmtId="0" fontId="6" fillId="0" borderId="0" xfId="0" applyFont="1" applyAlignment="1" applyProtection="1">
      <alignment horizontal="right" vertical="center" shrinkToFit="1"/>
      <protection hidden="1"/>
    </xf>
    <xf numFmtId="0" fontId="6" fillId="0" borderId="0" xfId="0" applyFont="1" applyAlignment="1" applyProtection="1">
      <alignment horizontal="center" shrinkToFit="1"/>
      <protection hidden="1"/>
    </xf>
    <xf numFmtId="0" fontId="3" fillId="0" borderId="0" xfId="0" applyFont="1" applyAlignment="1" applyProtection="1">
      <alignment horizontal="center" shrinkToFit="1"/>
      <protection hidden="1"/>
    </xf>
    <xf numFmtId="0" fontId="5" fillId="0" borderId="0" xfId="0" applyFont="1" applyAlignment="1" applyProtection="1">
      <alignment horizontal="right" shrinkToFit="1"/>
      <protection hidden="1"/>
    </xf>
    <xf numFmtId="0" fontId="1" fillId="0" borderId="18" xfId="0" applyFont="1" applyBorder="1" applyAlignment="1" applyProtection="1">
      <alignment horizontal="center" vertical="center" shrinkToFit="1"/>
      <protection hidden="1"/>
    </xf>
    <xf numFmtId="0" fontId="32" fillId="0" borderId="73" xfId="0" applyFont="1" applyBorder="1" applyAlignment="1" applyProtection="1">
      <alignment horizontal="center" vertical="top" shrinkToFit="1"/>
      <protection hidden="1"/>
    </xf>
    <xf numFmtId="0" fontId="41" fillId="0" borderId="17" xfId="0" applyFont="1" applyBorder="1" applyAlignment="1" applyProtection="1">
      <alignment horizontal="center" shrinkToFit="1"/>
      <protection hidden="1"/>
    </xf>
    <xf numFmtId="165" fontId="77" fillId="3" borderId="18" xfId="0" applyNumberFormat="1" applyFont="1" applyFill="1" applyBorder="1" applyAlignment="1" applyProtection="1">
      <alignment horizontal="center" vertical="center" shrinkToFit="1"/>
      <protection hidden="1"/>
    </xf>
    <xf numFmtId="0" fontId="8" fillId="0" borderId="18" xfId="0" applyFont="1" applyBorder="1" applyAlignment="1" applyProtection="1">
      <alignment horizontal="center" vertical="center" shrinkToFit="1"/>
      <protection hidden="1"/>
    </xf>
    <xf numFmtId="0" fontId="8" fillId="3" borderId="18" xfId="0" applyFont="1" applyFill="1" applyBorder="1" applyAlignment="1" applyProtection="1">
      <alignment horizontal="center" vertical="center" shrinkToFit="1"/>
      <protection hidden="1"/>
    </xf>
    <xf numFmtId="0" fontId="77" fillId="3" borderId="18" xfId="0" applyFont="1" applyFill="1" applyBorder="1" applyAlignment="1" applyProtection="1">
      <alignment horizontal="center" vertical="center" shrinkToFit="1"/>
      <protection hidden="1"/>
    </xf>
    <xf numFmtId="0" fontId="77" fillId="3" borderId="29" xfId="0" applyFont="1" applyFill="1" applyBorder="1" applyAlignment="1" applyProtection="1">
      <alignment horizontal="center" vertical="center" shrinkToFit="1"/>
      <protection hidden="1"/>
    </xf>
    <xf numFmtId="0" fontId="32" fillId="0" borderId="33" xfId="0" applyFont="1" applyBorder="1" applyAlignment="1" applyProtection="1">
      <alignment horizontal="center" vertical="center" shrinkToFit="1"/>
      <protection hidden="1"/>
    </xf>
    <xf numFmtId="0" fontId="75" fillId="0" borderId="19" xfId="0" applyFont="1" applyBorder="1" applyAlignment="1" applyProtection="1">
      <alignment horizontal="right" vertical="center" shrinkToFit="1"/>
      <protection hidden="1"/>
    </xf>
    <xf numFmtId="49" fontId="77" fillId="3" borderId="19" xfId="0" applyNumberFormat="1" applyFont="1" applyFill="1" applyBorder="1" applyAlignment="1" applyProtection="1">
      <alignment horizontal="center" vertical="center" shrinkToFit="1"/>
      <protection hidden="1"/>
    </xf>
    <xf numFmtId="0" fontId="77" fillId="3" borderId="19" xfId="0" applyFont="1" applyFill="1" applyBorder="1" applyAlignment="1" applyProtection="1">
      <alignment horizontal="center" vertical="center" shrinkToFit="1"/>
      <protection hidden="1"/>
    </xf>
    <xf numFmtId="0" fontId="82" fillId="0" borderId="17" xfId="0" applyFont="1" applyBorder="1" applyAlignment="1" applyProtection="1">
      <alignment horizontal="right" vertical="center" wrapText="1" shrinkToFit="1"/>
      <protection hidden="1"/>
    </xf>
    <xf numFmtId="164" fontId="77" fillId="3" borderId="18" xfId="0" applyNumberFormat="1" applyFont="1" applyFill="1" applyBorder="1" applyAlignment="1" applyProtection="1">
      <alignment horizontal="right" shrinkToFit="1"/>
      <protection hidden="1"/>
    </xf>
    <xf numFmtId="164" fontId="77" fillId="3" borderId="116" xfId="0" applyNumberFormat="1" applyFont="1" applyFill="1" applyBorder="1" applyAlignment="1" applyProtection="1">
      <alignment horizontal="right" shrinkToFit="1"/>
      <protection hidden="1"/>
    </xf>
    <xf numFmtId="0" fontId="8" fillId="3" borderId="116" xfId="0" applyFont="1" applyFill="1" applyBorder="1" applyAlignment="1" applyProtection="1">
      <alignment horizontal="center" vertical="center" shrinkToFit="1"/>
      <protection hidden="1"/>
    </xf>
    <xf numFmtId="0" fontId="75" fillId="3" borderId="18" xfId="0" applyFont="1" applyFill="1" applyBorder="1" applyAlignment="1" applyProtection="1">
      <alignment horizontal="right" vertical="center" shrinkToFit="1"/>
      <protection hidden="1"/>
    </xf>
    <xf numFmtId="0" fontId="75" fillId="3" borderId="116" xfId="0" applyFont="1" applyFill="1" applyBorder="1" applyAlignment="1" applyProtection="1">
      <alignment horizontal="right" vertical="center" shrinkToFit="1"/>
      <protection hidden="1"/>
    </xf>
    <xf numFmtId="0" fontId="8" fillId="0" borderId="115" xfId="0" applyFont="1" applyBorder="1" applyAlignment="1" applyProtection="1">
      <alignment horizontal="center" vertical="center" shrinkToFit="1"/>
      <protection hidden="1"/>
    </xf>
    <xf numFmtId="0" fontId="8" fillId="0" borderId="115" xfId="0" applyFont="1" applyBorder="1" applyAlignment="1" applyProtection="1">
      <alignment horizontal="right" vertical="center" shrinkToFit="1"/>
      <protection hidden="1"/>
    </xf>
    <xf numFmtId="0" fontId="8" fillId="0" borderId="18" xfId="0" applyFont="1" applyBorder="1" applyAlignment="1" applyProtection="1">
      <alignment horizontal="right" vertical="center" shrinkToFit="1"/>
      <protection hidden="1"/>
    </xf>
    <xf numFmtId="0" fontId="0" fillId="27" borderId="0" xfId="0" applyFill="1" applyAlignment="1" applyProtection="1">
      <alignment horizontal="center" vertical="center" wrapText="1"/>
      <protection hidden="1"/>
    </xf>
    <xf numFmtId="0" fontId="0" fillId="27" borderId="139" xfId="0" applyFill="1" applyBorder="1" applyAlignment="1" applyProtection="1">
      <alignment horizontal="center" vertical="center" wrapText="1"/>
      <protection hidden="1"/>
    </xf>
    <xf numFmtId="0" fontId="75" fillId="24" borderId="31" xfId="0" applyFont="1" applyFill="1" applyBorder="1" applyAlignment="1" applyProtection="1">
      <alignment horizontal="center" vertical="center" shrinkToFit="1"/>
      <protection hidden="1"/>
    </xf>
    <xf numFmtId="0" fontId="75" fillId="24" borderId="19" xfId="0" applyFont="1" applyFill="1" applyBorder="1" applyAlignment="1" applyProtection="1">
      <alignment horizontal="center" vertical="center" shrinkToFit="1"/>
      <protection hidden="1"/>
    </xf>
    <xf numFmtId="164" fontId="75" fillId="24" borderId="19" xfId="0" applyNumberFormat="1" applyFont="1" applyFill="1" applyBorder="1" applyAlignment="1" applyProtection="1">
      <alignment horizontal="center" vertical="center" shrinkToFit="1"/>
      <protection hidden="1"/>
    </xf>
    <xf numFmtId="0" fontId="78" fillId="6" borderId="31" xfId="0" applyFont="1" applyFill="1" applyBorder="1" applyAlignment="1" applyProtection="1">
      <alignment horizontal="center" shrinkToFit="1"/>
      <protection hidden="1"/>
    </xf>
    <xf numFmtId="0" fontId="78" fillId="6" borderId="19" xfId="0" applyFont="1" applyFill="1" applyBorder="1" applyAlignment="1" applyProtection="1">
      <alignment horizontal="center" shrinkToFit="1"/>
      <protection hidden="1"/>
    </xf>
    <xf numFmtId="0" fontId="78" fillId="6" borderId="117" xfId="0" applyFont="1" applyFill="1" applyBorder="1" applyAlignment="1" applyProtection="1">
      <alignment horizontal="center" shrinkToFit="1"/>
      <protection hidden="1"/>
    </xf>
    <xf numFmtId="0" fontId="78" fillId="6" borderId="76" xfId="0" applyFont="1" applyFill="1" applyBorder="1" applyAlignment="1" applyProtection="1">
      <alignment horizontal="center" vertical="center" shrinkToFit="1"/>
      <protection hidden="1"/>
    </xf>
    <xf numFmtId="0" fontId="78" fillId="6" borderId="0" xfId="0" applyFont="1" applyFill="1" applyAlignment="1" applyProtection="1">
      <alignment horizontal="center" vertical="center" shrinkToFit="1"/>
      <protection hidden="1"/>
    </xf>
    <xf numFmtId="0" fontId="78" fillId="6" borderId="118" xfId="0" applyFont="1" applyFill="1" applyBorder="1" applyAlignment="1" applyProtection="1">
      <alignment horizontal="center" vertical="center" shrinkToFit="1"/>
      <protection hidden="1"/>
    </xf>
    <xf numFmtId="0" fontId="1" fillId="0" borderId="125" xfId="0" applyFont="1" applyBorder="1" applyAlignment="1" applyProtection="1">
      <alignment horizontal="right" vertical="center" shrinkToFit="1"/>
      <protection hidden="1"/>
    </xf>
    <xf numFmtId="0" fontId="1" fillId="0" borderId="18" xfId="0" applyFont="1" applyBorder="1" applyAlignment="1" applyProtection="1">
      <alignment horizontal="right" vertical="center" shrinkToFit="1"/>
      <protection hidden="1"/>
    </xf>
    <xf numFmtId="0" fontId="75" fillId="0" borderId="126" xfId="0" applyFont="1" applyBorder="1" applyAlignment="1" applyProtection="1">
      <alignment horizontal="right" vertical="center" shrinkToFit="1"/>
      <protection hidden="1"/>
    </xf>
    <xf numFmtId="0" fontId="85" fillId="16" borderId="5" xfId="0" applyFont="1" applyFill="1" applyBorder="1" applyAlignment="1" applyProtection="1">
      <alignment horizontal="right" vertical="top" wrapText="1"/>
      <protection hidden="1"/>
    </xf>
    <xf numFmtId="0" fontId="85" fillId="16" borderId="5" xfId="0" applyFont="1" applyFill="1" applyBorder="1" applyAlignment="1" applyProtection="1">
      <alignment horizontal="right" vertical="top"/>
      <protection hidden="1"/>
    </xf>
    <xf numFmtId="0" fontId="85" fillId="16" borderId="0" xfId="0" applyFont="1" applyFill="1" applyAlignment="1" applyProtection="1">
      <alignment horizontal="right" vertical="top"/>
      <protection hidden="1"/>
    </xf>
    <xf numFmtId="0" fontId="32" fillId="2" borderId="34" xfId="0" applyFont="1" applyFill="1" applyBorder="1" applyAlignment="1" applyProtection="1">
      <alignment horizontal="center" vertical="center" shrinkToFit="1"/>
      <protection hidden="1"/>
    </xf>
    <xf numFmtId="0" fontId="32" fillId="2" borderId="20" xfId="0" applyFont="1" applyFill="1" applyBorder="1" applyAlignment="1" applyProtection="1">
      <alignment horizontal="center" vertical="center" shrinkToFit="1"/>
      <protection hidden="1"/>
    </xf>
    <xf numFmtId="0" fontId="32" fillId="2" borderId="35" xfId="0" applyFont="1" applyFill="1" applyBorder="1" applyAlignment="1" applyProtection="1">
      <alignment horizontal="center" vertical="center" shrinkToFit="1"/>
      <protection hidden="1"/>
    </xf>
    <xf numFmtId="0" fontId="75" fillId="0" borderId="18" xfId="0" applyFont="1" applyBorder="1" applyAlignment="1" applyProtection="1">
      <alignment horizontal="right" vertical="center" shrinkToFit="1"/>
      <protection hidden="1"/>
    </xf>
    <xf numFmtId="49" fontId="8" fillId="3" borderId="19" xfId="0" applyNumberFormat="1" applyFont="1" applyFill="1" applyBorder="1" applyAlignment="1" applyProtection="1">
      <alignment horizontal="center" vertical="center" shrinkToFit="1"/>
      <protection hidden="1"/>
    </xf>
    <xf numFmtId="0" fontId="8" fillId="3" borderId="19" xfId="0" applyFont="1" applyFill="1" applyBorder="1" applyAlignment="1" applyProtection="1">
      <alignment horizontal="center" vertical="center" shrinkToFit="1"/>
      <protection hidden="1"/>
    </xf>
    <xf numFmtId="22" fontId="75" fillId="0" borderId="0" xfId="0" applyNumberFormat="1" applyFont="1" applyAlignment="1" applyProtection="1">
      <alignment horizontal="center" vertical="center" shrinkToFit="1" readingOrder="2"/>
      <protection hidden="1"/>
    </xf>
    <xf numFmtId="0" fontId="1" fillId="0" borderId="124" xfId="0" applyFont="1" applyBorder="1" applyAlignment="1" applyProtection="1">
      <alignment horizontal="right" vertical="center" shrinkToFit="1"/>
      <protection hidden="1"/>
    </xf>
    <xf numFmtId="0" fontId="1" fillId="0" borderId="20" xfId="0" applyFont="1" applyBorder="1" applyAlignment="1" applyProtection="1">
      <alignment horizontal="right" vertical="center" shrinkToFit="1"/>
      <protection hidden="1"/>
    </xf>
    <xf numFmtId="0" fontId="76" fillId="3" borderId="20" xfId="1" applyNumberFormat="1" applyFont="1" applyFill="1" applyBorder="1" applyAlignment="1" applyProtection="1">
      <alignment horizontal="center" vertical="center" shrinkToFit="1"/>
      <protection hidden="1"/>
    </xf>
    <xf numFmtId="0" fontId="1" fillId="0" borderId="20" xfId="0" applyFont="1" applyBorder="1" applyAlignment="1" applyProtection="1">
      <alignment horizontal="center" vertical="center" shrinkToFit="1"/>
      <protection hidden="1"/>
    </xf>
    <xf numFmtId="0" fontId="75" fillId="3" borderId="20" xfId="0" applyFont="1" applyFill="1" applyBorder="1" applyAlignment="1" applyProtection="1">
      <alignment horizontal="center" vertical="center" shrinkToFit="1"/>
      <protection hidden="1"/>
    </xf>
    <xf numFmtId="0" fontId="1" fillId="3" borderId="20" xfId="0" applyFont="1" applyFill="1" applyBorder="1" applyAlignment="1" applyProtection="1">
      <alignment horizontal="center" vertical="center" shrinkToFit="1"/>
      <protection hidden="1"/>
    </xf>
    <xf numFmtId="0" fontId="8" fillId="3" borderId="127" xfId="0" applyFont="1" applyFill="1" applyBorder="1" applyAlignment="1" applyProtection="1">
      <alignment horizontal="center" vertical="center" shrinkToFit="1"/>
      <protection hidden="1"/>
    </xf>
    <xf numFmtId="0" fontId="75" fillId="0" borderId="125" xfId="0" applyFont="1" applyBorder="1" applyAlignment="1" applyProtection="1">
      <alignment horizontal="right" vertical="center" shrinkToFit="1"/>
      <protection hidden="1"/>
    </xf>
    <xf numFmtId="0" fontId="1" fillId="3" borderId="114" xfId="0" applyFont="1" applyFill="1" applyBorder="1" applyAlignment="1" applyProtection="1">
      <alignment horizontal="center" vertical="center" shrinkToFit="1"/>
      <protection hidden="1"/>
    </xf>
    <xf numFmtId="0" fontId="1" fillId="3" borderId="18" xfId="0" applyFont="1" applyFill="1" applyBorder="1" applyAlignment="1" applyProtection="1">
      <alignment horizontal="center" vertical="center" shrinkToFit="1"/>
      <protection hidden="1"/>
    </xf>
    <xf numFmtId="0" fontId="8" fillId="0" borderId="29" xfId="0" applyFont="1" applyBorder="1" applyAlignment="1" applyProtection="1">
      <alignment horizontal="center" vertical="center" shrinkToFit="1"/>
      <protection hidden="1"/>
    </xf>
    <xf numFmtId="0" fontId="75" fillId="0" borderId="9" xfId="0" applyFont="1" applyBorder="1" applyAlignment="1" applyProtection="1">
      <alignment horizontal="center" vertical="center" shrinkToFit="1" readingOrder="2"/>
      <protection hidden="1"/>
    </xf>
    <xf numFmtId="0" fontId="75" fillId="3" borderId="18" xfId="0" applyFont="1" applyFill="1" applyBorder="1" applyAlignment="1" applyProtection="1">
      <alignment horizontal="center" vertical="center" shrinkToFit="1"/>
      <protection hidden="1"/>
    </xf>
    <xf numFmtId="0" fontId="77" fillId="0" borderId="29" xfId="0" applyFont="1" applyBorder="1" applyAlignment="1" applyProtection="1">
      <alignment horizontal="center" vertical="center" shrinkToFit="1"/>
      <protection hidden="1"/>
    </xf>
    <xf numFmtId="0" fontId="29" fillId="0" borderId="128" xfId="0" applyFont="1" applyBorder="1" applyAlignment="1">
      <alignment horizontal="center" vertical="center"/>
    </xf>
    <xf numFmtId="0" fontId="29" fillId="0" borderId="129" xfId="0" applyFont="1" applyBorder="1" applyAlignment="1">
      <alignment horizontal="center" vertical="center"/>
    </xf>
    <xf numFmtId="0" fontId="29" fillId="0" borderId="130" xfId="0" applyFont="1" applyBorder="1" applyAlignment="1">
      <alignment horizontal="center" vertical="center"/>
    </xf>
    <xf numFmtId="0" fontId="29" fillId="0" borderId="133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9" fillId="0" borderId="134" xfId="0" applyFont="1" applyBorder="1" applyAlignment="1">
      <alignment horizontal="center" vertical="center"/>
    </xf>
    <xf numFmtId="0" fontId="29" fillId="0" borderId="130" xfId="0" applyFont="1" applyBorder="1" applyAlignment="1" applyProtection="1">
      <alignment horizontal="center" vertical="center"/>
      <protection hidden="1"/>
    </xf>
    <xf numFmtId="0" fontId="29" fillId="0" borderId="134" xfId="0" applyFont="1" applyBorder="1" applyAlignment="1" applyProtection="1">
      <alignment horizontal="center" vertical="center"/>
      <protection hidden="1"/>
    </xf>
    <xf numFmtId="0" fontId="29" fillId="0" borderId="131" xfId="0" applyFont="1" applyBorder="1" applyAlignment="1" applyProtection="1">
      <alignment horizontal="center" vertical="center"/>
      <protection hidden="1"/>
    </xf>
    <xf numFmtId="0" fontId="29" fillId="0" borderId="120" xfId="0" applyFont="1" applyBorder="1" applyAlignment="1" applyProtection="1">
      <alignment horizontal="center" vertical="center"/>
      <protection hidden="1"/>
    </xf>
    <xf numFmtId="0" fontId="29" fillId="0" borderId="133" xfId="0" applyFont="1" applyBorder="1" applyAlignment="1" applyProtection="1">
      <alignment horizontal="center" vertical="center"/>
      <protection hidden="1"/>
    </xf>
    <xf numFmtId="0" fontId="29" fillId="0" borderId="28" xfId="0" applyFont="1" applyBorder="1" applyAlignment="1" applyProtection="1">
      <alignment horizontal="center" vertical="center"/>
      <protection hidden="1"/>
    </xf>
    <xf numFmtId="0" fontId="29" fillId="0" borderId="131" xfId="0" applyFont="1" applyBorder="1" applyAlignment="1">
      <alignment horizontal="center" vertical="center"/>
    </xf>
    <xf numFmtId="0" fontId="29" fillId="0" borderId="120" xfId="0" applyFont="1" applyBorder="1" applyAlignment="1">
      <alignment horizontal="center" vertical="center"/>
    </xf>
    <xf numFmtId="0" fontId="29" fillId="0" borderId="132" xfId="0" applyFont="1" applyBorder="1" applyAlignment="1">
      <alignment horizontal="center" vertical="center"/>
    </xf>
    <xf numFmtId="0" fontId="79" fillId="25" borderId="26" xfId="0" applyFont="1" applyFill="1" applyBorder="1" applyAlignment="1">
      <alignment horizontal="center" vertical="center"/>
    </xf>
    <xf numFmtId="0" fontId="79" fillId="25" borderId="120" xfId="0" applyFont="1" applyFill="1" applyBorder="1" applyAlignment="1">
      <alignment horizontal="center" vertical="center"/>
    </xf>
    <xf numFmtId="0" fontId="68" fillId="25" borderId="28" xfId="0" applyFont="1" applyFill="1" applyBorder="1" applyAlignment="1">
      <alignment horizontal="center" vertical="center"/>
    </xf>
    <xf numFmtId="0" fontId="43" fillId="25" borderId="28" xfId="0" applyFont="1" applyFill="1" applyBorder="1" applyAlignment="1">
      <alignment horizontal="center" vertical="center"/>
    </xf>
    <xf numFmtId="0" fontId="68" fillId="25" borderId="135" xfId="0" applyFont="1" applyFill="1" applyBorder="1" applyAlignment="1">
      <alignment horizontal="center" vertical="center" textRotation="90"/>
    </xf>
    <xf numFmtId="0" fontId="68" fillId="25" borderId="131" xfId="0" applyFont="1" applyFill="1" applyBorder="1" applyAlignment="1">
      <alignment horizontal="center" vertical="center" textRotation="90"/>
    </xf>
    <xf numFmtId="0" fontId="68" fillId="25" borderId="26" xfId="0" applyFont="1" applyFill="1" applyBorder="1" applyAlignment="1">
      <alignment horizontal="center" vertical="center" textRotation="90" wrapText="1"/>
    </xf>
    <xf numFmtId="0" fontId="68" fillId="25" borderId="120" xfId="0" applyFont="1" applyFill="1" applyBorder="1" applyAlignment="1">
      <alignment horizontal="center" vertical="center" textRotation="90" wrapText="1"/>
    </xf>
    <xf numFmtId="0" fontId="2" fillId="3" borderId="40" xfId="0" applyFont="1" applyFill="1" applyBorder="1" applyAlignment="1" applyProtection="1">
      <alignment horizontal="center" vertical="center" textRotation="90" wrapText="1"/>
      <protection hidden="1"/>
    </xf>
    <xf numFmtId="0" fontId="2" fillId="3" borderId="41" xfId="0" applyFont="1" applyFill="1" applyBorder="1" applyAlignment="1" applyProtection="1">
      <alignment horizontal="center" vertical="center" textRotation="90" wrapText="1"/>
      <protection hidden="1"/>
    </xf>
    <xf numFmtId="0" fontId="79" fillId="25" borderId="136" xfId="0" applyFont="1" applyFill="1" applyBorder="1" applyAlignment="1">
      <alignment horizontal="center" vertical="center"/>
    </xf>
    <xf numFmtId="0" fontId="79" fillId="25" borderId="132" xfId="0" applyFont="1" applyFill="1" applyBorder="1" applyAlignment="1">
      <alignment horizontal="center" vertical="center"/>
    </xf>
    <xf numFmtId="0" fontId="29" fillId="0" borderId="121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43" fillId="25" borderId="135" xfId="0" applyFont="1" applyFill="1" applyBorder="1" applyAlignment="1">
      <alignment horizontal="center" vertical="center" wrapText="1"/>
    </xf>
    <xf numFmtId="0" fontId="43" fillId="25" borderId="131" xfId="0" applyFont="1" applyFill="1" applyBorder="1" applyAlignment="1">
      <alignment horizontal="center" vertical="center" wrapText="1"/>
    </xf>
    <xf numFmtId="0" fontId="43" fillId="25" borderId="26" xfId="0" applyFont="1" applyFill="1" applyBorder="1" applyAlignment="1">
      <alignment horizontal="center" vertical="center" wrapText="1"/>
    </xf>
    <xf numFmtId="0" fontId="43" fillId="25" borderId="120" xfId="0" applyFont="1" applyFill="1" applyBorder="1" applyAlignment="1">
      <alignment horizontal="center" vertical="center" wrapText="1"/>
    </xf>
    <xf numFmtId="0" fontId="43" fillId="25" borderId="136" xfId="0" applyFont="1" applyFill="1" applyBorder="1" applyAlignment="1">
      <alignment horizontal="center" vertical="center" wrapText="1"/>
    </xf>
    <xf numFmtId="0" fontId="43" fillId="25" borderId="132" xfId="0" applyFont="1" applyFill="1" applyBorder="1" applyAlignment="1">
      <alignment horizontal="center" vertical="center" wrapText="1"/>
    </xf>
    <xf numFmtId="0" fontId="43" fillId="25" borderId="136" xfId="0" applyFont="1" applyFill="1" applyBorder="1" applyAlignment="1" applyProtection="1">
      <alignment horizontal="center" vertical="center" wrapText="1"/>
      <protection hidden="1"/>
    </xf>
    <xf numFmtId="0" fontId="43" fillId="25" borderId="132" xfId="0" applyFont="1" applyFill="1" applyBorder="1" applyAlignment="1" applyProtection="1">
      <alignment horizontal="center" vertical="center" wrapText="1"/>
      <protection hidden="1"/>
    </xf>
    <xf numFmtId="0" fontId="43" fillId="25" borderId="133" xfId="0" applyFont="1" applyFill="1" applyBorder="1" applyAlignment="1" applyProtection="1">
      <alignment horizontal="center" vertical="center" wrapText="1"/>
      <protection hidden="1"/>
    </xf>
    <xf numFmtId="0" fontId="68" fillId="25" borderId="28" xfId="0" applyFont="1" applyFill="1" applyBorder="1" applyAlignment="1">
      <alignment horizontal="center" vertical="center" wrapText="1"/>
    </xf>
    <xf numFmtId="0" fontId="68" fillId="25" borderId="136" xfId="0" applyFont="1" applyFill="1" applyBorder="1" applyAlignment="1">
      <alignment horizontal="center" vertical="center" textRotation="90" wrapText="1"/>
    </xf>
    <xf numFmtId="0" fontId="68" fillId="25" borderId="132" xfId="0" applyFont="1" applyFill="1" applyBorder="1" applyAlignment="1">
      <alignment horizontal="center" vertical="center" textRotation="90" wrapText="1"/>
    </xf>
    <xf numFmtId="0" fontId="79" fillId="25" borderId="135" xfId="0" applyFont="1" applyFill="1" applyBorder="1" applyAlignment="1">
      <alignment horizontal="center" vertical="center"/>
    </xf>
    <xf numFmtId="0" fontId="79" fillId="25" borderId="131" xfId="0" applyFont="1" applyFill="1" applyBorder="1" applyAlignment="1">
      <alignment horizontal="center" vertical="center"/>
    </xf>
    <xf numFmtId="0" fontId="29" fillId="9" borderId="0" xfId="0" applyFont="1" applyFill="1" applyAlignment="1" applyProtection="1">
      <alignment horizontal="center" vertical="center"/>
      <protection hidden="1"/>
    </xf>
    <xf numFmtId="0" fontId="29" fillId="17" borderId="0" xfId="0" applyFont="1" applyFill="1" applyAlignment="1" applyProtection="1">
      <alignment horizontal="center" vertical="center"/>
      <protection hidden="1"/>
    </xf>
    <xf numFmtId="0" fontId="29" fillId="4" borderId="0" xfId="0" applyFont="1" applyFill="1" applyAlignment="1" applyProtection="1">
      <alignment horizontal="center" vertical="center"/>
      <protection hidden="1"/>
    </xf>
    <xf numFmtId="0" fontId="42" fillId="4" borderId="60" xfId="0" applyFont="1" applyFill="1" applyBorder="1" applyAlignment="1" applyProtection="1">
      <alignment horizontal="center" vertical="center"/>
      <protection hidden="1"/>
    </xf>
    <xf numFmtId="0" fontId="42" fillId="4" borderId="63" xfId="0" applyFont="1" applyFill="1" applyBorder="1" applyAlignment="1" applyProtection="1">
      <alignment horizontal="center" vertical="center"/>
      <protection hidden="1"/>
    </xf>
    <xf numFmtId="0" fontId="42" fillId="4" borderId="61" xfId="0" applyFont="1" applyFill="1" applyBorder="1" applyAlignment="1" applyProtection="1">
      <alignment horizontal="center" vertical="center"/>
      <protection hidden="1"/>
    </xf>
    <xf numFmtId="0" fontId="42" fillId="4" borderId="64" xfId="0" applyFont="1" applyFill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0" fontId="34" fillId="18" borderId="0" xfId="0" applyFont="1" applyFill="1" applyAlignment="1" applyProtection="1">
      <alignment horizontal="center" vertical="center"/>
      <protection hidden="1"/>
    </xf>
    <xf numFmtId="0" fontId="34" fillId="18" borderId="44" xfId="0" applyFont="1" applyFill="1" applyBorder="1" applyAlignment="1" applyProtection="1">
      <alignment horizontal="center" vertical="center"/>
      <protection hidden="1"/>
    </xf>
    <xf numFmtId="0" fontId="29" fillId="19" borderId="48" xfId="0" applyFont="1" applyFill="1" applyBorder="1" applyAlignment="1" applyProtection="1">
      <alignment horizontal="center" vertical="center"/>
      <protection hidden="1"/>
    </xf>
    <xf numFmtId="0" fontId="29" fillId="19" borderId="53" xfId="0" applyFont="1" applyFill="1" applyBorder="1" applyAlignment="1" applyProtection="1">
      <alignment horizontal="center" vertical="center"/>
      <protection hidden="1"/>
    </xf>
    <xf numFmtId="0" fontId="29" fillId="19" borderId="54" xfId="0" applyFont="1" applyFill="1" applyBorder="1" applyAlignment="1" applyProtection="1">
      <alignment horizontal="center" vertical="center"/>
      <protection hidden="1"/>
    </xf>
    <xf numFmtId="0" fontId="29" fillId="19" borderId="55" xfId="0" applyFont="1" applyFill="1" applyBorder="1" applyAlignment="1" applyProtection="1">
      <alignment horizontal="center" vertical="center"/>
      <protection hidden="1"/>
    </xf>
    <xf numFmtId="0" fontId="39" fillId="4" borderId="0" xfId="0" applyFont="1" applyFill="1" applyAlignment="1" applyProtection="1">
      <alignment horizontal="center" vertical="center"/>
      <protection locked="0" hidden="1"/>
    </xf>
    <xf numFmtId="0" fontId="10" fillId="10" borderId="0" xfId="1" applyFont="1" applyFill="1" applyAlignment="1" applyProtection="1">
      <alignment horizontal="center" vertical="center"/>
      <protection hidden="1"/>
    </xf>
    <xf numFmtId="0" fontId="42" fillId="4" borderId="59" xfId="0" applyFont="1" applyFill="1" applyBorder="1" applyAlignment="1" applyProtection="1">
      <alignment horizontal="center" vertical="center"/>
      <protection hidden="1"/>
    </xf>
    <xf numFmtId="0" fontId="42" fillId="4" borderId="62" xfId="0" applyFont="1" applyFill="1" applyBorder="1" applyAlignment="1" applyProtection="1">
      <alignment horizontal="center" vertical="center"/>
      <protection hidden="1"/>
    </xf>
    <xf numFmtId="0" fontId="42" fillId="4" borderId="69" xfId="0" applyFont="1" applyFill="1" applyBorder="1" applyAlignment="1" applyProtection="1">
      <alignment horizontal="center" vertical="center"/>
      <protection hidden="1"/>
    </xf>
    <xf numFmtId="0" fontId="42" fillId="4" borderId="70" xfId="0" applyFont="1" applyFill="1" applyBorder="1" applyAlignment="1" applyProtection="1">
      <alignment horizontal="center" vertical="center"/>
      <protection hidden="1"/>
    </xf>
    <xf numFmtId="0" fontId="42" fillId="4" borderId="71" xfId="0" applyFont="1" applyFill="1" applyBorder="1" applyAlignment="1" applyProtection="1">
      <alignment horizontal="center" vertical="center"/>
      <protection hidden="1"/>
    </xf>
  </cellXfs>
  <cellStyles count="8">
    <cellStyle name="Normal 2" xfId="2" xr:uid="{00000000-0005-0000-0000-000002000000}"/>
    <cellStyle name="Normal 2 2" xfId="3" xr:uid="{00000000-0005-0000-0000-000003000000}"/>
    <cellStyle name="Normal 2 2 2" xfId="5" xr:uid="{00000000-0005-0000-0000-000004000000}"/>
    <cellStyle name="Normal 2 2 2 2" xfId="7" xr:uid="{FD7198E2-F9B2-470B-B6CB-7F83F4C45E70}"/>
    <cellStyle name="Normal_Sheet1" xfId="6" xr:uid="{00000000-0005-0000-0000-000005000000}"/>
    <cellStyle name="ارتباط تشعبي" xfId="1" builtinId="8"/>
    <cellStyle name="عادي" xfId="0" builtinId="0"/>
    <cellStyle name="عادي 2" xfId="4" xr:uid="{00000000-0005-0000-0000-00000C000000}"/>
  </cellStyles>
  <dxfs count="28">
    <dxf>
      <font>
        <color rgb="FFFF0000"/>
      </font>
      <fill>
        <patternFill patternType="none">
          <bgColor auto="1"/>
        </patternFill>
      </fill>
    </dxf>
    <dxf>
      <font>
        <color rgb="FF002060"/>
      </font>
      <fill>
        <patternFill patternType="none">
          <bgColor auto="1"/>
        </patternFill>
      </fill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vertical/>
        <horizontal/>
      </border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bgColor rgb="FFFF000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1051560</xdr:colOff>
      <xdr:row>0</xdr:row>
      <xdr:rowOff>45720</xdr:rowOff>
    </xdr:from>
    <xdr:to>
      <xdr:col>1</xdr:col>
      <xdr:colOff>1623060</xdr:colOff>
      <xdr:row>0</xdr:row>
      <xdr:rowOff>304800</xdr:rowOff>
    </xdr:to>
    <xdr:sp macro="" textlink="">
      <xdr:nvSpPr>
        <xdr:cNvPr id="2" name="سهم: لليسار 1">
          <a:extLst>
            <a:ext uri="{FF2B5EF4-FFF2-40B4-BE49-F238E27FC236}">
              <a16:creationId xmlns:a16="http://schemas.microsoft.com/office/drawing/2014/main" id="{45005BA2-BD50-466A-A9A0-E3B6CA786634}"/>
            </a:ext>
          </a:extLst>
        </xdr:cNvPr>
        <xdr:cNvSpPr/>
      </xdr:nvSpPr>
      <xdr:spPr>
        <a:xfrm>
          <a:off x="11229639720" y="45720"/>
          <a:ext cx="571500" cy="259080"/>
        </a:xfrm>
        <a:prstGeom prst="leftArrow">
          <a:avLst>
            <a:gd name="adj1" fmla="val 38235"/>
            <a:gd name="adj2" fmla="val 5000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4</xdr:col>
      <xdr:colOff>76200</xdr:colOff>
      <xdr:row>0</xdr:row>
      <xdr:rowOff>76200</xdr:rowOff>
    </xdr:from>
    <xdr:to>
      <xdr:col>4</xdr:col>
      <xdr:colOff>464820</xdr:colOff>
      <xdr:row>0</xdr:row>
      <xdr:rowOff>266700</xdr:rowOff>
    </xdr:to>
    <xdr:sp macro="" textlink="">
      <xdr:nvSpPr>
        <xdr:cNvPr id="5" name="سهم: لليمين 4">
          <a:extLst>
            <a:ext uri="{FF2B5EF4-FFF2-40B4-BE49-F238E27FC236}">
              <a16:creationId xmlns:a16="http://schemas.microsoft.com/office/drawing/2014/main" id="{D67D4A29-7719-1B69-C84B-64694CFE7F24}"/>
            </a:ext>
          </a:extLst>
        </xdr:cNvPr>
        <xdr:cNvSpPr/>
      </xdr:nvSpPr>
      <xdr:spPr>
        <a:xfrm>
          <a:off x="11225669700" y="76200"/>
          <a:ext cx="388620" cy="19050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ar-SY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19050</xdr:colOff>
      <xdr:row>7</xdr:row>
      <xdr:rowOff>38100</xdr:rowOff>
    </xdr:from>
    <xdr:to>
      <xdr:col>33</xdr:col>
      <xdr:colOff>19050</xdr:colOff>
      <xdr:row>10</xdr:row>
      <xdr:rowOff>97239</xdr:rowOff>
    </xdr:to>
    <xdr:pic>
      <xdr:nvPicPr>
        <xdr:cNvPr id="1030" name="صورة 1">
          <a:extLst>
            <a:ext uri="{FF2B5EF4-FFF2-40B4-BE49-F238E27FC236}">
              <a16:creationId xmlns:a16="http://schemas.microsoft.com/office/drawing/2014/main" id="{00000000-0008-0000-0200-00000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978650" y="1428750"/>
          <a:ext cx="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33</xdr:col>
      <xdr:colOff>23115</xdr:colOff>
      <xdr:row>7</xdr:row>
      <xdr:rowOff>38879</xdr:rowOff>
    </xdr:from>
    <xdr:to>
      <xdr:col>33</xdr:col>
      <xdr:colOff>23115</xdr:colOff>
      <xdr:row>10</xdr:row>
      <xdr:rowOff>92768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3692710" y="1591454"/>
          <a:ext cx="0" cy="804375"/>
        </a:xfrm>
        <a:prstGeom prst="rect">
          <a:avLst/>
        </a:prstGeom>
      </xdr:spPr>
    </xdr:pic>
    <xdr:clientData/>
  </xdr:twoCellAnchor>
  <xdr:oneCellAnchor>
    <xdr:from>
      <xdr:col>33</xdr:col>
      <xdr:colOff>23115</xdr:colOff>
      <xdr:row>8</xdr:row>
      <xdr:rowOff>38879</xdr:rowOff>
    </xdr:from>
    <xdr:ext cx="0" cy="804375"/>
    <xdr:pic>
      <xdr:nvPicPr>
        <xdr:cNvPr id="4" name="صورة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3692710" y="1886729"/>
          <a:ext cx="0" cy="8043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16373</xdr:col>
      <xdr:colOff>199073</xdr:colOff>
      <xdr:row>41</xdr:row>
      <xdr:rowOff>99060</xdr:rowOff>
    </xdr:from>
    <xdr:to>
      <xdr:col>16384</xdr:col>
      <xdr:colOff>608647</xdr:colOff>
      <xdr:row>44</xdr:row>
      <xdr:rowOff>53390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EFC9300A-663E-4633-B112-2D235E798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0294620"/>
          <a:ext cx="6590347" cy="563930"/>
        </a:xfrm>
        <a:prstGeom prst="rect">
          <a:avLst/>
        </a:prstGeom>
      </xdr:spPr>
    </xdr:pic>
    <xdr:clientData/>
  </xdr:twoCellAnchor>
  <xdr:twoCellAnchor editAs="oneCell">
    <xdr:from>
      <xdr:col>0</xdr:col>
      <xdr:colOff>449580</xdr:colOff>
      <xdr:row>39</xdr:row>
      <xdr:rowOff>167640</xdr:rowOff>
    </xdr:from>
    <xdr:to>
      <xdr:col>28</xdr:col>
      <xdr:colOff>75247</xdr:colOff>
      <xdr:row>41</xdr:row>
      <xdr:rowOff>182930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9C40D8D7-61B2-42C8-BE37-5A7844042B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3031293" y="9448800"/>
          <a:ext cx="6590347" cy="579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../../../Hp/Desktop/&#1575;&#1582;&#1585;%20&#1578;&#1593;&#1583;&#1610;&#1604;%202024%20&#1601;1/&#1571;&#1587;&#1578;&#1582;&#1604;&#1575;&#1589;%20&#1575;&#1604;&#1602;&#1608;&#1575;&#1574;&#1605;/&#1575;&#1587;&#1578;&#1605;&#1575;&#1585;&#1607;%20&#1576;&#1585;&#1606;&#1575;&#1605;&#1580;%20&#1575;&#1604;&#1605;&#1581;&#1575;&#1587;&#1576;&#1607;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../../../../waccache/Local%20Settings/My%20Documents/&#1575;&#1604;&#1578;&#1617;&#1606;&#1586;&#1610;&#1604;&#1575;&#1578;/&#1587;&#1580;&#1604;%20&#1575;&#1604;&#1605;&#1587;&#1580;&#1604;&#1610;&#1606;%20&#1583;&#1585;&#1575;&#1587;&#1575;&#1578;%20&#1583;&#1608;&#1604;&#1610;&#1607;%20&#1608;&#1583;&#1576;&#1604;&#1608;&#1605;&#1575;&#1587;&#1610;&#1607;.xls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23"/>
  <sheetViews>
    <sheetView rightToLeft="1" tabSelected="1" workbookViewId="0">
      <selection activeCell="B11" sqref="B11:I12"/>
    </sheetView>
  </sheetViews>
  <sheetFormatPr defaultColWidth="9" defaultRowHeight="16.8" x14ac:dyDescent="0.5"/>
  <cols>
    <col min="1" max="1" width="2.3984375" style="86" customWidth="1"/>
    <col min="2" max="2" width="4.3984375" style="86" customWidth="1"/>
    <col min="3" max="6" width="9" style="86"/>
    <col min="7" max="7" width="1.3984375" style="86" customWidth="1"/>
    <col min="8" max="8" width="12.3984375" style="86" customWidth="1"/>
    <col min="9" max="9" width="16.8984375" style="86" customWidth="1"/>
    <col min="10" max="10" width="5" style="86" customWidth="1"/>
    <col min="11" max="11" width="9" style="86"/>
    <col min="12" max="12" width="2.3984375" style="86" customWidth="1"/>
    <col min="13" max="14" width="9" style="86"/>
    <col min="15" max="15" width="3.3984375" style="86" customWidth="1"/>
    <col min="16" max="17" width="9" style="86"/>
    <col min="18" max="18" width="4.3984375" style="86" customWidth="1"/>
    <col min="19" max="19" width="2" style="86" customWidth="1"/>
    <col min="20" max="20" width="8.8984375" style="86" customWidth="1"/>
    <col min="21" max="21" width="15.3984375" style="86" customWidth="1"/>
    <col min="22" max="16384" width="9" style="86"/>
  </cols>
  <sheetData>
    <row r="1" spans="1:22" ht="27" thickBot="1" x14ac:dyDescent="0.75">
      <c r="B1" s="246" t="s">
        <v>127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</row>
    <row r="2" spans="1:22" ht="19.5" customHeight="1" thickBot="1" x14ac:dyDescent="0.7">
      <c r="B2" s="247" t="s">
        <v>62</v>
      </c>
      <c r="C2" s="247"/>
      <c r="D2" s="247"/>
      <c r="E2" s="247"/>
      <c r="F2" s="247"/>
      <c r="G2" s="247"/>
      <c r="H2" s="247"/>
      <c r="I2" s="247"/>
      <c r="J2" s="87"/>
      <c r="K2" s="248" t="s">
        <v>110</v>
      </c>
      <c r="L2" s="249"/>
      <c r="M2" s="249"/>
      <c r="N2" s="249"/>
      <c r="O2" s="249"/>
      <c r="P2" s="249"/>
      <c r="Q2" s="249"/>
      <c r="R2" s="249"/>
      <c r="S2" s="249"/>
      <c r="T2" s="252" t="s">
        <v>126</v>
      </c>
      <c r="U2" s="253"/>
    </row>
    <row r="3" spans="1:22" ht="22.5" customHeight="1" thickBot="1" x14ac:dyDescent="0.7">
      <c r="A3" s="88">
        <v>1</v>
      </c>
      <c r="B3" s="256" t="s">
        <v>118</v>
      </c>
      <c r="C3" s="257"/>
      <c r="D3" s="257"/>
      <c r="E3" s="257"/>
      <c r="F3" s="257"/>
      <c r="G3" s="257"/>
      <c r="H3" s="257"/>
      <c r="I3" s="258"/>
      <c r="K3" s="250"/>
      <c r="L3" s="251"/>
      <c r="M3" s="251"/>
      <c r="N3" s="251"/>
      <c r="O3" s="251"/>
      <c r="P3" s="251"/>
      <c r="Q3" s="251"/>
      <c r="R3" s="251"/>
      <c r="S3" s="251"/>
      <c r="T3" s="254"/>
      <c r="U3" s="255"/>
    </row>
    <row r="4" spans="1:22" ht="22.5" customHeight="1" thickBot="1" x14ac:dyDescent="0.7">
      <c r="A4" s="88">
        <v>2</v>
      </c>
      <c r="B4" s="238" t="s">
        <v>124</v>
      </c>
      <c r="C4" s="239"/>
      <c r="D4" s="239"/>
      <c r="E4" s="239"/>
      <c r="F4" s="239"/>
      <c r="G4" s="239"/>
      <c r="H4" s="239"/>
      <c r="I4" s="240"/>
      <c r="K4" s="241" t="s">
        <v>15</v>
      </c>
      <c r="L4" s="242"/>
      <c r="M4" s="242"/>
      <c r="N4" s="242"/>
      <c r="O4" s="242"/>
      <c r="P4" s="242"/>
      <c r="Q4" s="242"/>
      <c r="R4" s="242"/>
      <c r="S4" s="243"/>
      <c r="T4" s="244">
        <v>1</v>
      </c>
      <c r="U4" s="245"/>
    </row>
    <row r="5" spans="1:22" ht="22.5" customHeight="1" thickBot="1" x14ac:dyDescent="0.7">
      <c r="A5" s="88"/>
      <c r="B5" s="259" t="s">
        <v>119</v>
      </c>
      <c r="C5" s="260"/>
      <c r="D5" s="260"/>
      <c r="E5" s="260"/>
      <c r="F5" s="260"/>
      <c r="G5" s="260"/>
      <c r="H5" s="260"/>
      <c r="I5" s="91"/>
      <c r="K5" s="261" t="s">
        <v>111</v>
      </c>
      <c r="L5" s="262"/>
      <c r="M5" s="262"/>
      <c r="N5" s="262"/>
      <c r="O5" s="262"/>
      <c r="P5" s="262"/>
      <c r="Q5" s="262"/>
      <c r="R5" s="262"/>
      <c r="S5" s="262"/>
      <c r="T5" s="244">
        <v>1</v>
      </c>
      <c r="U5" s="245"/>
    </row>
    <row r="6" spans="1:22" ht="42.75" customHeight="1" thickBot="1" x14ac:dyDescent="0.7">
      <c r="A6" s="88" t="s">
        <v>120</v>
      </c>
      <c r="B6" s="263" t="s">
        <v>121</v>
      </c>
      <c r="C6" s="264"/>
      <c r="D6" s="264"/>
      <c r="E6" s="264"/>
      <c r="F6" s="264"/>
      <c r="G6" s="264"/>
      <c r="H6" s="264"/>
      <c r="I6" s="265"/>
      <c r="K6" s="266" t="s">
        <v>171</v>
      </c>
      <c r="L6" s="267"/>
      <c r="M6" s="267"/>
      <c r="N6" s="267"/>
      <c r="O6" s="267"/>
      <c r="P6" s="267"/>
      <c r="Q6" s="267"/>
      <c r="R6" s="267"/>
      <c r="S6" s="268"/>
      <c r="T6" s="269" t="s">
        <v>116</v>
      </c>
      <c r="U6" s="270"/>
    </row>
    <row r="7" spans="1:22" ht="22.5" customHeight="1" thickBot="1" x14ac:dyDescent="0.7">
      <c r="A7" s="88">
        <v>2</v>
      </c>
      <c r="B7" s="263" t="s">
        <v>122</v>
      </c>
      <c r="C7" s="264"/>
      <c r="D7" s="264"/>
      <c r="E7" s="264"/>
      <c r="F7" s="264"/>
      <c r="G7" s="264"/>
      <c r="H7" s="264"/>
      <c r="I7" s="265"/>
      <c r="K7" s="271" t="s">
        <v>112</v>
      </c>
      <c r="L7" s="272"/>
      <c r="M7" s="272"/>
      <c r="N7" s="272"/>
      <c r="O7" s="272"/>
      <c r="P7" s="272"/>
      <c r="Q7" s="272"/>
      <c r="R7" s="272"/>
      <c r="S7" s="273"/>
      <c r="T7" s="274">
        <v>0.5</v>
      </c>
      <c r="U7" s="275"/>
      <c r="V7" s="89"/>
    </row>
    <row r="8" spans="1:22" ht="22.5" customHeight="1" thickBot="1" x14ac:dyDescent="0.7">
      <c r="A8" s="88"/>
      <c r="B8" s="263" t="s">
        <v>123</v>
      </c>
      <c r="C8" s="264"/>
      <c r="D8" s="264"/>
      <c r="E8" s="264"/>
      <c r="F8" s="264"/>
      <c r="G8" s="264"/>
      <c r="H8" s="264"/>
      <c r="I8" s="265"/>
      <c r="J8" s="89"/>
      <c r="K8" s="276" t="s">
        <v>113</v>
      </c>
      <c r="L8" s="277"/>
      <c r="M8" s="277"/>
      <c r="N8" s="277"/>
      <c r="O8" s="277"/>
      <c r="P8" s="277"/>
      <c r="Q8" s="277"/>
      <c r="R8" s="277"/>
      <c r="S8" s="277"/>
      <c r="T8" s="278">
        <v>0.2</v>
      </c>
      <c r="U8" s="279"/>
    </row>
    <row r="9" spans="1:22" ht="22.5" customHeight="1" thickBot="1" x14ac:dyDescent="0.7">
      <c r="A9" s="88"/>
      <c r="B9" s="281"/>
      <c r="C9" s="282"/>
      <c r="D9" s="282"/>
      <c r="E9" s="282"/>
      <c r="F9" s="282"/>
      <c r="G9" s="282"/>
      <c r="H9" s="282"/>
      <c r="I9" s="283"/>
      <c r="J9" s="90"/>
      <c r="K9" s="276"/>
      <c r="L9" s="277"/>
      <c r="M9" s="277"/>
      <c r="N9" s="277"/>
      <c r="O9" s="277"/>
      <c r="P9" s="277"/>
      <c r="Q9" s="277"/>
      <c r="R9" s="277"/>
      <c r="S9" s="277"/>
      <c r="T9" s="280"/>
      <c r="U9" s="279"/>
    </row>
    <row r="10" spans="1:22" ht="22.5" customHeight="1" thickBot="1" x14ac:dyDescent="0.75">
      <c r="A10" s="88">
        <v>3</v>
      </c>
      <c r="B10" s="259" t="s">
        <v>64</v>
      </c>
      <c r="C10" s="260"/>
      <c r="D10" s="260"/>
      <c r="E10" s="260"/>
      <c r="F10" s="260"/>
      <c r="G10" s="260"/>
      <c r="H10" s="284" t="s">
        <v>63</v>
      </c>
      <c r="I10" s="285"/>
      <c r="K10" s="241" t="s">
        <v>114</v>
      </c>
      <c r="L10" s="242"/>
      <c r="M10" s="242"/>
      <c r="N10" s="242"/>
      <c r="O10" s="242"/>
      <c r="P10" s="242"/>
      <c r="Q10" s="242"/>
      <c r="R10" s="242"/>
      <c r="S10" s="243"/>
      <c r="T10" s="286">
        <v>0.2</v>
      </c>
      <c r="U10" s="287"/>
    </row>
    <row r="11" spans="1:22" ht="43.5" customHeight="1" x14ac:dyDescent="0.65">
      <c r="A11" s="88">
        <v>4</v>
      </c>
      <c r="B11" s="288" t="s">
        <v>263</v>
      </c>
      <c r="C11" s="289"/>
      <c r="D11" s="289"/>
      <c r="E11" s="289"/>
      <c r="F11" s="289"/>
      <c r="G11" s="289"/>
      <c r="H11" s="289"/>
      <c r="I11" s="290"/>
      <c r="K11" s="294" t="s">
        <v>170</v>
      </c>
      <c r="L11" s="295"/>
      <c r="M11" s="295"/>
      <c r="N11" s="295"/>
      <c r="O11" s="295"/>
      <c r="P11" s="295"/>
      <c r="Q11" s="295"/>
      <c r="R11" s="295"/>
      <c r="S11" s="296"/>
      <c r="T11" s="297" t="s">
        <v>117</v>
      </c>
      <c r="U11" s="298"/>
    </row>
    <row r="12" spans="1:22" ht="22.5" customHeight="1" thickBot="1" x14ac:dyDescent="0.7">
      <c r="A12" s="88"/>
      <c r="B12" s="291"/>
      <c r="C12" s="292"/>
      <c r="D12" s="292"/>
      <c r="E12" s="292"/>
      <c r="F12" s="292"/>
      <c r="G12" s="292"/>
      <c r="H12" s="292"/>
      <c r="I12" s="293"/>
      <c r="K12" s="299" t="s">
        <v>115</v>
      </c>
      <c r="L12" s="300"/>
      <c r="M12" s="300"/>
      <c r="N12" s="300"/>
      <c r="O12" s="300"/>
      <c r="P12" s="300"/>
      <c r="Q12" s="300"/>
      <c r="R12" s="300"/>
      <c r="S12" s="301"/>
      <c r="T12" s="302">
        <v>0.5</v>
      </c>
      <c r="U12" s="303"/>
    </row>
    <row r="13" spans="1:22" ht="22.5" customHeight="1" thickBot="1" x14ac:dyDescent="0.7">
      <c r="A13" s="88">
        <v>5</v>
      </c>
      <c r="B13" s="313" t="s">
        <v>125</v>
      </c>
      <c r="C13" s="314"/>
      <c r="D13" s="314"/>
      <c r="E13" s="314"/>
      <c r="F13" s="314"/>
      <c r="G13" s="314"/>
      <c r="H13" s="314"/>
      <c r="I13" s="315"/>
      <c r="K13" s="316" t="s">
        <v>128</v>
      </c>
      <c r="L13" s="317"/>
      <c r="M13" s="317"/>
      <c r="N13" s="317"/>
      <c r="O13" s="317"/>
      <c r="P13" s="317"/>
      <c r="Q13" s="317"/>
      <c r="R13" s="317"/>
      <c r="S13" s="317"/>
      <c r="T13" s="317"/>
      <c r="U13" s="317"/>
    </row>
    <row r="14" spans="1:22" ht="22.5" customHeight="1" x14ac:dyDescent="0.65">
      <c r="A14" s="88"/>
      <c r="B14" s="318" t="s">
        <v>172</v>
      </c>
      <c r="C14" s="318"/>
      <c r="D14" s="318"/>
      <c r="E14" s="318"/>
      <c r="F14" s="318"/>
      <c r="G14" s="318"/>
      <c r="H14" s="318"/>
      <c r="I14" s="318"/>
      <c r="K14" s="317"/>
      <c r="L14" s="317"/>
      <c r="M14" s="317"/>
      <c r="N14" s="317"/>
      <c r="O14" s="317"/>
      <c r="P14" s="317"/>
      <c r="Q14" s="317"/>
      <c r="R14" s="317"/>
      <c r="S14" s="317"/>
      <c r="T14" s="317"/>
      <c r="U14" s="317"/>
    </row>
    <row r="15" spans="1:22" ht="3.75" customHeight="1" x14ac:dyDescent="0.65">
      <c r="A15" s="88"/>
      <c r="B15" s="319"/>
      <c r="C15" s="319"/>
      <c r="D15" s="319"/>
      <c r="E15" s="319"/>
      <c r="F15" s="319"/>
      <c r="G15" s="319"/>
      <c r="H15" s="319"/>
      <c r="I15" s="319"/>
      <c r="K15" s="321"/>
      <c r="L15" s="321"/>
      <c r="M15" s="321"/>
      <c r="N15" s="321"/>
      <c r="O15" s="321"/>
      <c r="P15" s="321"/>
      <c r="Q15" s="321"/>
      <c r="R15" s="321"/>
      <c r="S15" s="321"/>
      <c r="T15" s="321"/>
      <c r="U15" s="321"/>
    </row>
    <row r="16" spans="1:22" ht="26.25" customHeight="1" x14ac:dyDescent="0.65">
      <c r="A16" s="88">
        <v>5</v>
      </c>
      <c r="B16" s="319"/>
      <c r="C16" s="319"/>
      <c r="D16" s="319"/>
      <c r="E16" s="319"/>
      <c r="F16" s="319"/>
      <c r="G16" s="319"/>
      <c r="H16" s="319"/>
      <c r="I16" s="319"/>
      <c r="K16" s="321"/>
      <c r="L16" s="321"/>
      <c r="M16" s="321"/>
      <c r="N16" s="321"/>
      <c r="O16" s="321"/>
      <c r="P16" s="321"/>
      <c r="Q16" s="321"/>
      <c r="R16" s="321"/>
      <c r="S16" s="321"/>
      <c r="T16" s="321"/>
      <c r="U16" s="321"/>
    </row>
    <row r="17" spans="2:21" ht="19.5" customHeight="1" x14ac:dyDescent="0.5">
      <c r="B17" s="319"/>
      <c r="C17" s="319"/>
      <c r="D17" s="319"/>
      <c r="E17" s="319"/>
      <c r="F17" s="319"/>
      <c r="G17" s="319"/>
      <c r="H17" s="319"/>
      <c r="I17" s="319"/>
      <c r="K17" s="321"/>
      <c r="L17" s="321"/>
      <c r="M17" s="321"/>
      <c r="N17" s="321"/>
      <c r="O17" s="321"/>
      <c r="P17" s="321"/>
      <c r="Q17" s="321"/>
      <c r="R17" s="321"/>
      <c r="S17" s="321"/>
      <c r="T17" s="321"/>
      <c r="U17" s="321"/>
    </row>
    <row r="18" spans="2:21" ht="19.5" customHeight="1" x14ac:dyDescent="0.65">
      <c r="B18" s="319"/>
      <c r="C18" s="319"/>
      <c r="D18" s="319"/>
      <c r="E18" s="319"/>
      <c r="F18" s="319"/>
      <c r="G18" s="319"/>
      <c r="H18" s="319"/>
      <c r="I18" s="319"/>
      <c r="K18" s="92"/>
      <c r="M18" s="321"/>
      <c r="N18" s="321"/>
      <c r="O18" s="321"/>
      <c r="P18" s="93"/>
      <c r="Q18" s="322"/>
      <c r="R18" s="322"/>
      <c r="S18" s="92"/>
      <c r="T18" s="92"/>
      <c r="U18" s="92"/>
    </row>
    <row r="19" spans="2:21" ht="21.75" customHeight="1" thickBot="1" x14ac:dyDescent="0.55000000000000004">
      <c r="B19" s="320"/>
      <c r="C19" s="320"/>
      <c r="D19" s="320"/>
      <c r="E19" s="320"/>
      <c r="F19" s="320"/>
      <c r="G19" s="320"/>
      <c r="H19" s="320"/>
      <c r="I19" s="320"/>
    </row>
    <row r="20" spans="2:21" ht="3.75" customHeight="1" thickBot="1" x14ac:dyDescent="0.55000000000000004"/>
    <row r="21" spans="2:21" ht="35.25" customHeight="1" x14ac:dyDescent="0.5">
      <c r="B21" s="304"/>
      <c r="C21" s="305"/>
      <c r="D21" s="305"/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05"/>
      <c r="P21" s="305"/>
      <c r="Q21" s="305"/>
      <c r="R21" s="305"/>
      <c r="S21" s="305"/>
      <c r="T21" s="305"/>
      <c r="U21" s="306"/>
    </row>
    <row r="22" spans="2:21" ht="14.25" customHeight="1" x14ac:dyDescent="0.5">
      <c r="B22" s="307"/>
      <c r="C22" s="308"/>
      <c r="D22" s="308"/>
      <c r="E22" s="308"/>
      <c r="F22" s="308"/>
      <c r="G22" s="308"/>
      <c r="H22" s="308"/>
      <c r="I22" s="308"/>
      <c r="J22" s="308"/>
      <c r="K22" s="308"/>
      <c r="L22" s="308"/>
      <c r="M22" s="308"/>
      <c r="N22" s="308"/>
      <c r="O22" s="308"/>
      <c r="P22" s="308"/>
      <c r="Q22" s="308"/>
      <c r="R22" s="308"/>
      <c r="S22" s="308"/>
      <c r="T22" s="308"/>
      <c r="U22" s="309"/>
    </row>
    <row r="23" spans="2:21" ht="15" customHeight="1" thickBot="1" x14ac:dyDescent="0.55000000000000004">
      <c r="B23" s="310"/>
      <c r="C23" s="311"/>
      <c r="D23" s="311"/>
      <c r="E23" s="311"/>
      <c r="F23" s="311"/>
      <c r="G23" s="311"/>
      <c r="H23" s="311"/>
      <c r="I23" s="311"/>
      <c r="J23" s="311"/>
      <c r="K23" s="311"/>
      <c r="L23" s="311"/>
      <c r="M23" s="311"/>
      <c r="N23" s="311"/>
      <c r="O23" s="311"/>
      <c r="P23" s="311"/>
      <c r="Q23" s="311"/>
      <c r="R23" s="311"/>
      <c r="S23" s="311"/>
      <c r="T23" s="311"/>
      <c r="U23" s="312"/>
    </row>
  </sheetData>
  <mergeCells count="37">
    <mergeCell ref="B21:U23"/>
    <mergeCell ref="B13:I13"/>
    <mergeCell ref="K13:U14"/>
    <mergeCell ref="B14:I19"/>
    <mergeCell ref="K15:U17"/>
    <mergeCell ref="M18:O18"/>
    <mergeCell ref="Q18:R18"/>
    <mergeCell ref="B10:G10"/>
    <mergeCell ref="H10:I10"/>
    <mergeCell ref="K10:S10"/>
    <mergeCell ref="T10:U10"/>
    <mergeCell ref="B11:I12"/>
    <mergeCell ref="K11:S11"/>
    <mergeCell ref="T11:U11"/>
    <mergeCell ref="K12:S12"/>
    <mergeCell ref="T12:U12"/>
    <mergeCell ref="B7:I7"/>
    <mergeCell ref="K7:S7"/>
    <mergeCell ref="T7:U7"/>
    <mergeCell ref="B8:I8"/>
    <mergeCell ref="K8:S9"/>
    <mergeCell ref="T8:U9"/>
    <mergeCell ref="B9:I9"/>
    <mergeCell ref="B5:H5"/>
    <mergeCell ref="K5:S5"/>
    <mergeCell ref="T5:U5"/>
    <mergeCell ref="B6:I6"/>
    <mergeCell ref="K6:S6"/>
    <mergeCell ref="T6:U6"/>
    <mergeCell ref="B4:I4"/>
    <mergeCell ref="K4:S4"/>
    <mergeCell ref="T4:U4"/>
    <mergeCell ref="B1:U1"/>
    <mergeCell ref="B2:I2"/>
    <mergeCell ref="K2:S3"/>
    <mergeCell ref="T2:U3"/>
    <mergeCell ref="B3:I3"/>
  </mergeCells>
  <hyperlinks>
    <hyperlink ref="B3" r:id="rId1" location="'إدخال البيانات'!D2" display="المخصص" xr:uid="{00000000-0004-0000-0000-000000000000}"/>
    <hyperlink ref="H10" location="الإستمارة!Q1" display="الإستمارة وإطبع منها أربعة نسخ" xr:uid="{00000000-0004-0000-0000-000001000000}"/>
    <hyperlink ref="B3:C3" location="'إدخال البيانات'!D2" display="اضغط هنا" xr:uid="{00000000-0004-0000-0000-000002000000}"/>
    <hyperlink ref="B3:I3" location="'إدخال البيانات'!B2" display="تملئ صفحة إدخال البيانات بالمعلومات المطلوبة وبشكل دقيق وصحيح" xr:uid="{00000000-0004-0000-0000-000003000000}"/>
    <hyperlink ref="B4:I4" location="'اختيار المقررات'!E1" display="الانتقال إلى صفحة اختيار المقررات" xr:uid="{00000000-0004-0000-0000-000004000000}"/>
    <hyperlink ref="H10:I10" location="الإستمارة!Q1" display="الإستمارة وإطبع منها أربعة نسخ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74"/>
  <sheetViews>
    <sheetView showGridLines="0" rightToLeft="1" workbookViewId="0">
      <selection activeCell="A12" sqref="A12:G12"/>
    </sheetView>
  </sheetViews>
  <sheetFormatPr defaultColWidth="9" defaultRowHeight="13.8" x14ac:dyDescent="0.25"/>
  <cols>
    <col min="1" max="1" width="13.8984375" style="214" bestFit="1" customWidth="1"/>
    <col min="2" max="2" width="22.3984375" style="214" customWidth="1"/>
    <col min="3" max="3" width="18.8984375" style="214" customWidth="1"/>
    <col min="4" max="4" width="26" style="214" customWidth="1"/>
    <col min="5" max="5" width="20.3984375" style="214" customWidth="1"/>
    <col min="6" max="6" width="20" style="214" customWidth="1"/>
    <col min="7" max="7" width="11.3984375" style="214" customWidth="1"/>
    <col min="8" max="8" width="60.3984375" style="214" customWidth="1"/>
    <col min="9" max="9" width="3" style="214" hidden="1" customWidth="1"/>
    <col min="10" max="10" width="13.3984375" style="214" hidden="1" customWidth="1"/>
    <col min="11" max="11" width="11" style="214" hidden="1" customWidth="1"/>
    <col min="12" max="12" width="3.3984375" style="214" hidden="1" customWidth="1"/>
    <col min="13" max="13" width="8.3984375" style="214" hidden="1" customWidth="1"/>
    <col min="14" max="14" width="20" style="215" hidden="1" customWidth="1"/>
    <col min="15" max="15" width="3" style="215" hidden="1" customWidth="1"/>
    <col min="16" max="16" width="13.3984375" style="214" hidden="1" customWidth="1"/>
    <col min="17" max="18" width="9" style="214" hidden="1" customWidth="1"/>
    <col min="19" max="19" width="3" style="214" hidden="1" customWidth="1"/>
    <col min="20" max="20" width="8.3984375" style="214" hidden="1" customWidth="1"/>
    <col min="21" max="21" width="1.59765625" style="214" hidden="1" customWidth="1"/>
    <col min="22" max="22" width="3.3984375" style="214" hidden="1" customWidth="1"/>
    <col min="23" max="23" width="3" style="214" hidden="1" customWidth="1"/>
    <col min="24" max="24" width="9.3984375" style="214" bestFit="1" customWidth="1"/>
    <col min="25" max="26" width="9" style="214" hidden="1" customWidth="1"/>
    <col min="27" max="27" width="3" style="214" bestFit="1" customWidth="1"/>
    <col min="28" max="28" width="5" style="214" bestFit="1" customWidth="1"/>
    <col min="29" max="29" width="0" style="214" hidden="1" customWidth="1"/>
    <col min="30" max="16384" width="9" style="214"/>
  </cols>
  <sheetData>
    <row r="1" spans="1:28" ht="25.95" customHeight="1" x14ac:dyDescent="0.25">
      <c r="A1" s="325" t="s">
        <v>191</v>
      </c>
      <c r="B1" s="325"/>
      <c r="C1" s="232"/>
      <c r="D1" s="232"/>
      <c r="E1" s="232" t="s">
        <v>267</v>
      </c>
    </row>
    <row r="2" spans="1:28" ht="23.4" customHeight="1" x14ac:dyDescent="0.25">
      <c r="A2" s="326"/>
      <c r="B2" s="326"/>
      <c r="C2" s="326"/>
      <c r="D2" s="326"/>
      <c r="E2" s="326"/>
      <c r="F2" s="326"/>
    </row>
    <row r="3" spans="1:28" x14ac:dyDescent="0.25">
      <c r="A3" s="326"/>
      <c r="B3" s="326"/>
      <c r="C3" s="326"/>
      <c r="D3" s="326"/>
      <c r="E3" s="326"/>
      <c r="F3" s="326"/>
      <c r="J3" s="214" t="s">
        <v>10</v>
      </c>
      <c r="L3" s="324" t="s">
        <v>109</v>
      </c>
      <c r="M3" s="324"/>
      <c r="N3" s="214"/>
      <c r="O3" s="324"/>
      <c r="P3" s="324"/>
      <c r="S3" s="324" t="s">
        <v>192</v>
      </c>
      <c r="T3" s="324"/>
      <c r="U3" s="324" t="s">
        <v>11</v>
      </c>
      <c r="V3" s="324"/>
      <c r="AA3" s="215"/>
    </row>
    <row r="4" spans="1:28" ht="23.25" customHeight="1" x14ac:dyDescent="0.25">
      <c r="A4" s="323" t="s">
        <v>266</v>
      </c>
      <c r="B4" s="323"/>
      <c r="C4" s="323"/>
      <c r="D4" s="323"/>
      <c r="E4" s="323"/>
      <c r="F4" s="323"/>
      <c r="I4" s="214">
        <v>1</v>
      </c>
      <c r="J4" s="214" t="s">
        <v>194</v>
      </c>
      <c r="L4" s="216" t="s">
        <v>193</v>
      </c>
      <c r="M4" s="214" t="s">
        <v>89</v>
      </c>
      <c r="N4" s="214"/>
      <c r="S4" s="215" t="s">
        <v>193</v>
      </c>
      <c r="T4" s="214" t="s">
        <v>90</v>
      </c>
      <c r="U4" s="214">
        <v>1</v>
      </c>
      <c r="V4" s="214" t="s">
        <v>68</v>
      </c>
      <c r="W4" s="215"/>
      <c r="AA4" s="215"/>
    </row>
    <row r="5" spans="1:28" s="220" customFormat="1" ht="33.75" customHeight="1" x14ac:dyDescent="0.25">
      <c r="A5" s="217" t="s">
        <v>54</v>
      </c>
      <c r="B5" s="218" t="s">
        <v>198</v>
      </c>
      <c r="C5" s="217" t="s">
        <v>86</v>
      </c>
      <c r="D5" s="219" t="s">
        <v>199</v>
      </c>
      <c r="E5" s="219" t="s">
        <v>59</v>
      </c>
      <c r="F5" s="218" t="s">
        <v>58</v>
      </c>
      <c r="G5" s="218" t="s">
        <v>67</v>
      </c>
      <c r="I5" s="214">
        <v>2</v>
      </c>
      <c r="J5" s="214" t="s">
        <v>196</v>
      </c>
      <c r="L5" s="216" t="s">
        <v>195</v>
      </c>
      <c r="M5" s="214" t="s">
        <v>97</v>
      </c>
      <c r="N5" s="214"/>
      <c r="O5" s="215"/>
      <c r="P5" s="214"/>
      <c r="Q5" s="214"/>
      <c r="R5" s="214"/>
      <c r="S5" s="215" t="s">
        <v>195</v>
      </c>
      <c r="T5" s="214" t="s">
        <v>92</v>
      </c>
      <c r="U5" s="214">
        <v>2</v>
      </c>
      <c r="V5" s="214" t="s">
        <v>69</v>
      </c>
      <c r="W5" s="215"/>
      <c r="X5" s="214"/>
      <c r="Y5" s="214"/>
      <c r="AA5" s="215"/>
      <c r="AB5" s="214"/>
    </row>
    <row r="6" spans="1:28" ht="34.200000000000003" customHeight="1" x14ac:dyDescent="0.25">
      <c r="A6" s="233"/>
      <c r="B6" s="234"/>
      <c r="C6" s="234"/>
      <c r="D6" s="233"/>
      <c r="E6" s="233"/>
      <c r="F6" s="234"/>
      <c r="G6" s="234"/>
      <c r="I6" s="214">
        <v>3</v>
      </c>
      <c r="J6" s="214" t="s">
        <v>242</v>
      </c>
      <c r="L6" s="216" t="s">
        <v>197</v>
      </c>
      <c r="M6" s="214" t="s">
        <v>91</v>
      </c>
      <c r="N6" s="214"/>
      <c r="S6" s="215" t="s">
        <v>200</v>
      </c>
      <c r="T6" s="214" t="s">
        <v>129</v>
      </c>
      <c r="W6" s="215"/>
      <c r="AA6" s="215"/>
    </row>
    <row r="7" spans="1:28" ht="33.75" customHeight="1" x14ac:dyDescent="0.25">
      <c r="A7" s="221" t="s">
        <v>51</v>
      </c>
      <c r="B7" s="217" t="s">
        <v>52</v>
      </c>
      <c r="C7" s="229" t="s">
        <v>93</v>
      </c>
      <c r="D7" s="229" t="s">
        <v>94</v>
      </c>
      <c r="E7" s="229" t="s">
        <v>95</v>
      </c>
      <c r="F7" s="229" t="s">
        <v>96</v>
      </c>
      <c r="G7" s="221" t="s">
        <v>9</v>
      </c>
      <c r="I7" s="214">
        <v>4</v>
      </c>
      <c r="J7" s="214" t="s">
        <v>202</v>
      </c>
      <c r="L7" s="216" t="s">
        <v>201</v>
      </c>
      <c r="M7" s="214" t="s">
        <v>98</v>
      </c>
      <c r="N7" s="214"/>
      <c r="S7" s="215"/>
      <c r="T7" s="214" t="s">
        <v>241</v>
      </c>
      <c r="W7" s="215"/>
      <c r="AA7" s="215"/>
    </row>
    <row r="8" spans="1:28" ht="23.25" hidden="1" customHeight="1" x14ac:dyDescent="0.25">
      <c r="A8" s="222" t="e">
        <f>IF(A9&lt;&gt;"",A9,VLOOKUP(C1,#REF!,3,0))</f>
        <v>#REF!</v>
      </c>
      <c r="B8" s="222" t="e">
        <f>IF(B9&lt;&gt;"",B9,VLOOKUP($C$1,#REF!,4,0))</f>
        <v>#REF!</v>
      </c>
      <c r="C8" s="230" t="e">
        <f>UPPER(IF(C9&lt;&gt;"",C9,VLOOKUP($C$1,#REF!,18,0)))</f>
        <v>#REF!</v>
      </c>
      <c r="D8" s="230" t="e">
        <f>UPPER(IF(D9&lt;&gt;"",D9,VLOOKUP($C$1,#REF!,19,0)))</f>
        <v>#REF!</v>
      </c>
      <c r="E8" s="230" t="e">
        <f>UPPER(IF(E9&lt;&gt;"",E9,VLOOKUP($C$1,#REF!,20,0)))</f>
        <v>#REF!</v>
      </c>
      <c r="F8" s="231" t="e">
        <f>UPPER(IF(F9&lt;&gt;"",F9,VLOOKUP($C$1,#REF!,21,0)))</f>
        <v>#REF!</v>
      </c>
      <c r="G8" s="222" t="e">
        <f>IF(G9&lt;&gt;"",G9,VLOOKUP(I1,#REF!,3,0))</f>
        <v>#REF!</v>
      </c>
      <c r="I8" s="214">
        <v>5</v>
      </c>
      <c r="J8" s="214" t="s">
        <v>204</v>
      </c>
      <c r="L8" s="216" t="s">
        <v>203</v>
      </c>
      <c r="M8" s="214" t="s">
        <v>99</v>
      </c>
      <c r="N8" s="214"/>
      <c r="S8" s="215"/>
      <c r="W8" s="215"/>
      <c r="AA8" s="215"/>
    </row>
    <row r="9" spans="1:28" ht="33.75" customHeight="1" x14ac:dyDescent="0.25">
      <c r="A9" s="222"/>
      <c r="B9" s="222"/>
      <c r="C9" s="230"/>
      <c r="D9" s="230"/>
      <c r="E9" s="230"/>
      <c r="F9" s="231"/>
      <c r="G9" s="209"/>
      <c r="H9" s="227"/>
      <c r="I9" s="214">
        <v>6</v>
      </c>
      <c r="J9" s="214" t="s">
        <v>205</v>
      </c>
      <c r="L9" s="216" t="s">
        <v>200</v>
      </c>
      <c r="M9" s="214" t="s">
        <v>100</v>
      </c>
      <c r="N9" s="214"/>
      <c r="W9" s="215"/>
      <c r="AA9" s="215"/>
    </row>
    <row r="10" spans="1:28" ht="23.25" customHeight="1" x14ac:dyDescent="0.25">
      <c r="A10" s="217" t="s">
        <v>53</v>
      </c>
      <c r="B10" s="217" t="s">
        <v>6</v>
      </c>
      <c r="C10" s="217" t="s">
        <v>10</v>
      </c>
      <c r="D10" s="223" t="s">
        <v>11</v>
      </c>
      <c r="E10" s="217" t="s">
        <v>55</v>
      </c>
      <c r="F10" s="217" t="s">
        <v>56</v>
      </c>
      <c r="G10" s="217" t="s">
        <v>57</v>
      </c>
      <c r="I10" s="214">
        <v>7</v>
      </c>
      <c r="J10" s="214" t="s">
        <v>207</v>
      </c>
      <c r="L10" s="216" t="s">
        <v>206</v>
      </c>
      <c r="M10" s="214" t="s">
        <v>102</v>
      </c>
      <c r="N10" s="214"/>
      <c r="W10" s="215"/>
      <c r="AA10" s="215"/>
    </row>
    <row r="11" spans="1:28" ht="33.75" hidden="1" customHeight="1" x14ac:dyDescent="0.25">
      <c r="A11" s="224" t="e">
        <f>IF(A12&lt;&gt;"",A12,VLOOKUP($C$1,#REF!,6,0))</f>
        <v>#REF!</v>
      </c>
      <c r="B11" s="224" t="e">
        <f>IF(B12&lt;&gt;"",B12,VLOOKUP($C$1,#REF!,6,0))</f>
        <v>#REF!</v>
      </c>
      <c r="C11" s="222" t="e">
        <f>IF(C12&lt;&gt;"",C12,VLOOKUP($C$1,#REF!,8,0))</f>
        <v>#REF!</v>
      </c>
      <c r="D11" s="222" t="e">
        <f>IF(D12&lt;&gt;"",D12,VLOOKUP($C$1,#REF!,5,0))</f>
        <v>#REF!</v>
      </c>
      <c r="E11" s="222" t="e">
        <f>IF(E12&lt;&gt;"",E12,VLOOKUP($C$1,#REF!,10,0))</f>
        <v>#REF!</v>
      </c>
      <c r="F11" s="222" t="e">
        <f>IF(F12&lt;&gt;"",F12,VLOOKUP($C$1,#REF!,11,0))</f>
        <v>#REF!</v>
      </c>
      <c r="G11" s="222" t="e">
        <f>IF(G12&lt;&gt;"",G12,VLOOKUP($C$1,#REF!,12,0))</f>
        <v>#REF!</v>
      </c>
      <c r="I11" s="214">
        <v>8</v>
      </c>
      <c r="J11" s="214" t="s">
        <v>209</v>
      </c>
      <c r="L11" s="216" t="s">
        <v>208</v>
      </c>
      <c r="M11" s="214" t="s">
        <v>106</v>
      </c>
      <c r="N11" s="214"/>
      <c r="W11" s="215"/>
      <c r="AA11" s="215"/>
    </row>
    <row r="12" spans="1:28" ht="23.25" customHeight="1" x14ac:dyDescent="0.25">
      <c r="A12" s="237"/>
      <c r="B12" s="237"/>
      <c r="C12" s="236"/>
      <c r="D12" s="235"/>
      <c r="E12" s="235"/>
      <c r="F12" s="236"/>
      <c r="G12" s="235"/>
      <c r="I12" s="214">
        <v>9</v>
      </c>
      <c r="J12" s="214" t="s">
        <v>243</v>
      </c>
      <c r="L12" s="216" t="s">
        <v>210</v>
      </c>
      <c r="M12" s="214" t="s">
        <v>107</v>
      </c>
      <c r="N12" s="214"/>
      <c r="O12" s="214"/>
      <c r="AA12" s="215"/>
    </row>
    <row r="13" spans="1:28" ht="33.75" customHeight="1" x14ac:dyDescent="0.25">
      <c r="A13" s="225"/>
      <c r="B13" s="225"/>
      <c r="I13" s="214">
        <v>10</v>
      </c>
      <c r="J13" s="214" t="s">
        <v>244</v>
      </c>
      <c r="L13" s="216" t="s">
        <v>211</v>
      </c>
      <c r="M13" s="214" t="s">
        <v>101</v>
      </c>
      <c r="N13" s="214"/>
      <c r="O13" s="214"/>
      <c r="AA13" s="215"/>
    </row>
    <row r="14" spans="1:28" x14ac:dyDescent="0.25">
      <c r="I14" s="214">
        <v>11</v>
      </c>
      <c r="J14" s="214" t="s">
        <v>245</v>
      </c>
      <c r="L14" s="216" t="s">
        <v>212</v>
      </c>
      <c r="M14" s="214" t="s">
        <v>108</v>
      </c>
      <c r="N14" s="214"/>
      <c r="O14" s="214"/>
      <c r="AA14" s="215"/>
    </row>
    <row r="15" spans="1:28" x14ac:dyDescent="0.25">
      <c r="I15" s="214">
        <v>12</v>
      </c>
      <c r="J15" s="214" t="s">
        <v>246</v>
      </c>
      <c r="L15" s="216" t="s">
        <v>213</v>
      </c>
      <c r="M15" s="214" t="s">
        <v>105</v>
      </c>
      <c r="N15" s="214"/>
      <c r="O15" s="214"/>
      <c r="AA15" s="215"/>
    </row>
    <row r="16" spans="1:28" x14ac:dyDescent="0.25">
      <c r="I16" s="214">
        <v>13</v>
      </c>
      <c r="J16" s="214" t="s">
        <v>247</v>
      </c>
      <c r="L16" s="216" t="s">
        <v>214</v>
      </c>
      <c r="M16" s="214" t="s">
        <v>103</v>
      </c>
      <c r="N16" s="214"/>
      <c r="O16" s="214"/>
      <c r="AA16" s="215"/>
    </row>
    <row r="17" spans="7:27" x14ac:dyDescent="0.25">
      <c r="I17" s="214">
        <v>14</v>
      </c>
      <c r="J17" s="214" t="s">
        <v>248</v>
      </c>
      <c r="L17" s="216" t="s">
        <v>215</v>
      </c>
      <c r="M17" s="214" t="s">
        <v>104</v>
      </c>
      <c r="N17" s="214"/>
      <c r="O17" s="214"/>
      <c r="AA17" s="215"/>
    </row>
    <row r="18" spans="7:27" x14ac:dyDescent="0.25">
      <c r="I18" s="214">
        <v>15</v>
      </c>
      <c r="J18" s="214" t="s">
        <v>249</v>
      </c>
      <c r="L18" s="216" t="s">
        <v>216</v>
      </c>
      <c r="M18" s="214" t="s">
        <v>217</v>
      </c>
      <c r="AA18" s="215"/>
    </row>
    <row r="19" spans="7:27" x14ac:dyDescent="0.25">
      <c r="I19" s="214">
        <v>16</v>
      </c>
      <c r="J19" s="214" t="s">
        <v>250</v>
      </c>
      <c r="L19" s="216" t="s">
        <v>218</v>
      </c>
      <c r="M19" s="214" t="s">
        <v>219</v>
      </c>
      <c r="AA19" s="215"/>
    </row>
    <row r="20" spans="7:27" x14ac:dyDescent="0.25">
      <c r="I20" s="214">
        <v>17</v>
      </c>
      <c r="J20" s="214" t="s">
        <v>251</v>
      </c>
      <c r="AA20" s="215"/>
    </row>
    <row r="21" spans="7:27" x14ac:dyDescent="0.25">
      <c r="G21" s="226" t="s">
        <v>68</v>
      </c>
      <c r="AA21" s="215"/>
    </row>
    <row r="22" spans="7:27" x14ac:dyDescent="0.25">
      <c r="G22" s="226" t="s">
        <v>69</v>
      </c>
      <c r="AA22" s="215"/>
    </row>
    <row r="23" spans="7:27" x14ac:dyDescent="0.25">
      <c r="AA23" s="215"/>
    </row>
    <row r="24" spans="7:27" x14ac:dyDescent="0.25">
      <c r="AA24" s="215"/>
    </row>
    <row r="25" spans="7:27" x14ac:dyDescent="0.25">
      <c r="AA25" s="215"/>
    </row>
    <row r="26" spans="7:27" x14ac:dyDescent="0.25">
      <c r="AA26" s="215"/>
    </row>
    <row r="27" spans="7:27" x14ac:dyDescent="0.25">
      <c r="AA27" s="215"/>
    </row>
    <row r="28" spans="7:27" x14ac:dyDescent="0.25">
      <c r="AA28" s="215"/>
    </row>
    <row r="29" spans="7:27" x14ac:dyDescent="0.25">
      <c r="AA29" s="215"/>
    </row>
    <row r="30" spans="7:27" x14ac:dyDescent="0.25">
      <c r="AA30" s="215"/>
    </row>
    <row r="31" spans="7:27" x14ac:dyDescent="0.25">
      <c r="AA31" s="215"/>
    </row>
    <row r="32" spans="7:27" x14ac:dyDescent="0.25">
      <c r="AA32" s="215"/>
    </row>
    <row r="33" spans="27:27" x14ac:dyDescent="0.25">
      <c r="AA33" s="215"/>
    </row>
    <row r="34" spans="27:27" x14ac:dyDescent="0.25">
      <c r="AA34" s="215"/>
    </row>
    <row r="35" spans="27:27" x14ac:dyDescent="0.25">
      <c r="AA35" s="215"/>
    </row>
    <row r="36" spans="27:27" x14ac:dyDescent="0.25">
      <c r="AA36" s="215"/>
    </row>
    <row r="37" spans="27:27" x14ac:dyDescent="0.25">
      <c r="AA37" s="215"/>
    </row>
    <row r="38" spans="27:27" x14ac:dyDescent="0.25">
      <c r="AA38" s="215"/>
    </row>
    <row r="39" spans="27:27" x14ac:dyDescent="0.25">
      <c r="AA39" s="215"/>
    </row>
    <row r="40" spans="27:27" x14ac:dyDescent="0.25">
      <c r="AA40" s="215"/>
    </row>
    <row r="41" spans="27:27" x14ac:dyDescent="0.25">
      <c r="AA41" s="215"/>
    </row>
    <row r="42" spans="27:27" x14ac:dyDescent="0.25">
      <c r="AA42" s="215"/>
    </row>
    <row r="43" spans="27:27" x14ac:dyDescent="0.25">
      <c r="AA43" s="215"/>
    </row>
    <row r="44" spans="27:27" x14ac:dyDescent="0.25">
      <c r="AA44" s="215"/>
    </row>
    <row r="45" spans="27:27" x14ac:dyDescent="0.25">
      <c r="AA45" s="215"/>
    </row>
    <row r="46" spans="27:27" x14ac:dyDescent="0.25">
      <c r="AA46" s="215"/>
    </row>
    <row r="47" spans="27:27" x14ac:dyDescent="0.25">
      <c r="AA47" s="215"/>
    </row>
    <row r="48" spans="27:27" x14ac:dyDescent="0.25">
      <c r="AA48" s="215"/>
    </row>
    <row r="49" spans="27:27" x14ac:dyDescent="0.25">
      <c r="AA49" s="215"/>
    </row>
    <row r="50" spans="27:27" x14ac:dyDescent="0.25">
      <c r="AA50" s="215"/>
    </row>
    <row r="51" spans="27:27" x14ac:dyDescent="0.25">
      <c r="AA51" s="215"/>
    </row>
    <row r="52" spans="27:27" x14ac:dyDescent="0.25">
      <c r="AA52" s="215"/>
    </row>
    <row r="53" spans="27:27" x14ac:dyDescent="0.25">
      <c r="AA53" s="215"/>
    </row>
    <row r="54" spans="27:27" x14ac:dyDescent="0.25">
      <c r="AA54" s="215"/>
    </row>
    <row r="55" spans="27:27" x14ac:dyDescent="0.25">
      <c r="AA55" s="215"/>
    </row>
    <row r="56" spans="27:27" x14ac:dyDescent="0.25">
      <c r="AA56" s="215"/>
    </row>
    <row r="57" spans="27:27" x14ac:dyDescent="0.25">
      <c r="AA57" s="215"/>
    </row>
    <row r="58" spans="27:27" x14ac:dyDescent="0.25">
      <c r="AA58" s="215"/>
    </row>
    <row r="59" spans="27:27" x14ac:dyDescent="0.25">
      <c r="AA59" s="215"/>
    </row>
    <row r="60" spans="27:27" x14ac:dyDescent="0.25">
      <c r="AA60" s="215"/>
    </row>
    <row r="61" spans="27:27" x14ac:dyDescent="0.25">
      <c r="AA61" s="215"/>
    </row>
    <row r="62" spans="27:27" x14ac:dyDescent="0.25">
      <c r="AA62" s="215"/>
    </row>
    <row r="63" spans="27:27" x14ac:dyDescent="0.25">
      <c r="AA63" s="215"/>
    </row>
    <row r="64" spans="27:27" x14ac:dyDescent="0.25">
      <c r="AA64" s="215"/>
    </row>
    <row r="65" spans="27:27" x14ac:dyDescent="0.25">
      <c r="AA65" s="215"/>
    </row>
    <row r="66" spans="27:27" x14ac:dyDescent="0.25">
      <c r="AA66" s="215"/>
    </row>
    <row r="67" spans="27:27" x14ac:dyDescent="0.25">
      <c r="AA67" s="215"/>
    </row>
    <row r="68" spans="27:27" x14ac:dyDescent="0.25">
      <c r="AA68" s="215"/>
    </row>
    <row r="69" spans="27:27" x14ac:dyDescent="0.25">
      <c r="AA69" s="215"/>
    </row>
    <row r="70" spans="27:27" x14ac:dyDescent="0.25">
      <c r="AA70" s="215"/>
    </row>
    <row r="71" spans="27:27" x14ac:dyDescent="0.25">
      <c r="AA71" s="215"/>
    </row>
    <row r="72" spans="27:27" x14ac:dyDescent="0.25">
      <c r="AA72" s="215"/>
    </row>
    <row r="73" spans="27:27" x14ac:dyDescent="0.25">
      <c r="AA73" s="215"/>
    </row>
    <row r="74" spans="27:27" x14ac:dyDescent="0.25">
      <c r="AA74" s="215"/>
    </row>
  </sheetData>
  <sheetProtection selectLockedCells="1"/>
  <mergeCells count="7">
    <mergeCell ref="A4:F4"/>
    <mergeCell ref="U3:V3"/>
    <mergeCell ref="A1:B1"/>
    <mergeCell ref="L3:M3"/>
    <mergeCell ref="O3:P3"/>
    <mergeCell ref="S3:T3"/>
    <mergeCell ref="A2:F3"/>
  </mergeCells>
  <conditionalFormatting sqref="J4:J20">
    <cfRule type="duplicateValues" dxfId="24" priority="24"/>
  </conditionalFormatting>
  <dataValidations count="11">
    <dataValidation type="custom" allowBlank="1" showInputMessage="1" showErrorMessage="1" errorTitle="خطأ" error="الرقم الوطني خطأ في حال لم تكن تحمل الجنسية السورية أو الفلسطينية السورية عليك إدخال رقم جواز السفر أو رقمك القومي في الحقل المخصص" promptTitle="الرقم الوطني" prompt="يجب أن تدخل الرقم الوطني من اليسار إلى اليمين_x000a_في حال لم تكن تحمل الجنسية السورية عليك إدخال رقم جواز سفرك أو رقمك القومي" sqref="A6" xr:uid="{00000000-0002-0000-0100-000000000000}">
      <formula1>AND(OR(LEFT(A6,1)="0",LEFT(A6,1)="1",LEFT(A6,1)="9"),LEFT(A6,2)&lt;&gt;"00",LEN(A6)=11)</formula1>
    </dataValidation>
    <dataValidation type="date" allowBlank="1" showInputMessage="1" showErrorMessage="1" promptTitle="يجب أن يكون التاريخ " prompt="يوم / شهر / سنة" sqref="A12" xr:uid="{00000000-0002-0000-0100-000002000000}">
      <formula1>18264</formula1>
      <formula2>37986</formula2>
    </dataValidation>
    <dataValidation allowBlank="1" showInputMessage="1" showErrorMessage="1" promptTitle="اسم الأب باللغة الانكليزية" prompt="يجب أن يكون صحيح لأن سيتم إعتماده في جميع الوثائق الجامعية" sqref="D9" xr:uid="{00000000-0002-0000-0100-000003000000}"/>
    <dataValidation allowBlank="1" showInputMessage="1" showErrorMessage="1" promptTitle="اسم الأم باللغة الانكليزية" prompt="يجب أن يكون صحيح لأن سيتم إعتماده في جميع الوثائق الجامعية" sqref="E9" xr:uid="{00000000-0002-0000-0100-000004000000}"/>
    <dataValidation allowBlank="1" showInputMessage="1" showErrorMessage="1" promptTitle="مكان الميلاد باللغة الانكليزية" prompt="يجب أن يكون صحيح لأن سيتم إعتماده في جميع الوثائق الجامعية" sqref="F9" xr:uid="{00000000-0002-0000-0100-000005000000}"/>
    <dataValidation type="whole" allowBlank="1" showInputMessage="1" showErrorMessage="1" sqref="F12" xr:uid="{00000000-0002-0000-0100-000006000000}">
      <formula1>1950</formula1>
      <formula2>2021</formula2>
    </dataValidation>
    <dataValidation type="list" allowBlank="1" showInputMessage="1" showErrorMessage="1" sqref="C12" xr:uid="{00000000-0002-0000-0100-000007000000}">
      <formula1>$J$4:$J$20</formula1>
    </dataValidation>
    <dataValidation type="list" allowBlank="1" showInputMessage="1" showErrorMessage="1" sqref="G12" xr:uid="{00000000-0002-0000-0100-000008000000}">
      <formula1>$M$4:$M$18</formula1>
    </dataValidation>
    <dataValidation type="list" allowBlank="1" showInputMessage="1" showErrorMessage="1" sqref="D12" xr:uid="{00000000-0002-0000-0100-000009000000}">
      <formula1>$V$4:$V$5</formula1>
    </dataValidation>
    <dataValidation type="custom" allowBlank="1" showInputMessage="1" showErrorMessage="1" errorTitle="خطأ" error="رقم الهاتف غير صحيح" sqref="D6:E6" xr:uid="{00000000-0002-0000-0100-00000A000000}">
      <formula1>AND(LEFT(D6,1)="0",AND(LEN(D6)&gt;8,LEN(D6)&lt;12))</formula1>
    </dataValidation>
    <dataValidation type="list" allowBlank="1" showInputMessage="1" showErrorMessage="1" sqref="E12" xr:uid="{00000000-0002-0000-0100-00000B000000}">
      <formula1>$T$4:$T$7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1" id="{9354D8A1-7A00-4DB3-BB9C-8E913F9A2A1B}">
            <xm:f>'اختيار المقررات'!$E$2="مستنفذ"</xm:f>
            <x14:dxf>
              <font>
                <color theme="0"/>
              </font>
              <fill>
                <patternFill patternType="solid">
                  <bgColor rgb="FFFF000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A2</xm:sqref>
        </x14:conditionalFormatting>
        <x14:conditionalFormatting xmlns:xm="http://schemas.microsoft.com/office/excel/2006/main">
          <x14:cfRule type="expression" priority="20" id="{76F7DA08-646B-478B-BD9A-34088B939B5A}">
            <xm:f>'اختيار المقررات'!$E$2="مستنفذ"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A4:F13</xm:sqref>
        </x14:conditionalFormatting>
        <x14:conditionalFormatting xmlns:xm="http://schemas.microsoft.com/office/excel/2006/main">
          <x14:cfRule type="expression" priority="1" id="{7B59FB5D-6EFF-41E5-B3B1-EC3FE6A8E6B2}">
            <xm:f>'اختيار المقررات'!$E$2="مستنفذ"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G7:G9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ورقة4"/>
  <dimension ref="A1:BE57"/>
  <sheetViews>
    <sheetView showGridLines="0" rightToLeft="1" topLeftCell="C1" workbookViewId="0">
      <selection activeCell="P8" sqref="P8:P9"/>
    </sheetView>
  </sheetViews>
  <sheetFormatPr defaultColWidth="0" defaultRowHeight="14.25" customHeight="1" x14ac:dyDescent="0.25"/>
  <cols>
    <col min="1" max="2" width="5.3984375" style="1" hidden="1" customWidth="1"/>
    <col min="3" max="3" width="5.3984375" style="1" customWidth="1"/>
    <col min="4" max="4" width="6.3984375" style="1" customWidth="1"/>
    <col min="5" max="5" width="5" style="1" customWidth="1"/>
    <col min="6" max="6" width="3.3984375" style="1" customWidth="1"/>
    <col min="7" max="7" width="8.3984375" style="1" customWidth="1"/>
    <col min="8" max="8" width="3.3984375" style="1" customWidth="1"/>
    <col min="9" max="9" width="7.09765625" style="1" customWidth="1"/>
    <col min="10" max="10" width="5" style="1" hidden="1" customWidth="1"/>
    <col min="11" max="11" width="5.59765625" style="1" hidden="1" customWidth="1"/>
    <col min="12" max="12" width="5.3984375" style="1" customWidth="1"/>
    <col min="13" max="14" width="9.3984375" style="1" customWidth="1"/>
    <col min="15" max="15" width="7.3984375" style="1" customWidth="1"/>
    <col min="16" max="17" width="3.3984375" style="1" customWidth="1"/>
    <col min="18" max="19" width="5.3984375" style="1" hidden="1" customWidth="1"/>
    <col min="20" max="21" width="5.3984375" style="1" customWidth="1"/>
    <col min="22" max="22" width="5.3984375" style="1" bestFit="1" customWidth="1"/>
    <col min="23" max="23" width="17.3984375" style="1" customWidth="1"/>
    <col min="24" max="24" width="3.3984375" style="1" customWidth="1"/>
    <col min="25" max="25" width="5.8984375" style="1" customWidth="1"/>
    <col min="26" max="26" width="5.3984375" style="1" hidden="1" customWidth="1"/>
    <col min="27" max="27" width="5.59765625" style="1" hidden="1" customWidth="1"/>
    <col min="28" max="28" width="5.3984375" style="1" customWidth="1"/>
    <col min="29" max="29" width="10" style="1" customWidth="1"/>
    <col min="30" max="30" width="15" style="1" customWidth="1"/>
    <col min="31" max="31" width="2.3984375" style="1" bestFit="1" customWidth="1"/>
    <col min="32" max="33" width="3.3984375" style="1" customWidth="1"/>
    <col min="34" max="34" width="5" style="1" bestFit="1" customWidth="1"/>
    <col min="35" max="35" width="3.8984375" style="1" customWidth="1"/>
    <col min="36" max="36" width="10.3984375" style="1" customWidth="1"/>
    <col min="37" max="37" width="2" style="1" bestFit="1" customWidth="1"/>
    <col min="38" max="38" width="2.09765625" style="1" hidden="1" customWidth="1"/>
    <col min="39" max="39" width="3" style="1" hidden="1" customWidth="1"/>
    <col min="40" max="40" width="11.3984375" style="1" hidden="1" customWidth="1"/>
    <col min="41" max="41" width="43" style="1" hidden="1" customWidth="1"/>
    <col min="42" max="46" width="9" style="1" hidden="1" customWidth="1"/>
    <col min="47" max="47" width="3.3984375" style="94" hidden="1" customWidth="1"/>
    <col min="48" max="48" width="3.09765625" hidden="1" customWidth="1"/>
    <col min="49" max="49" width="30.59765625" hidden="1" customWidth="1"/>
    <col min="50" max="50" width="2.09765625" style="94" hidden="1" customWidth="1"/>
    <col min="51" max="54" width="9" style="94" hidden="1" customWidth="1"/>
    <col min="55" max="55" width="3.59765625" style="1" hidden="1" customWidth="1"/>
    <col min="56" max="16384" width="9" style="1" hidden="1"/>
  </cols>
  <sheetData>
    <row r="1" spans="1:57" s="58" customFormat="1" ht="21" customHeight="1" thickBot="1" x14ac:dyDescent="0.3">
      <c r="B1" s="190"/>
      <c r="C1" s="380" t="s">
        <v>2</v>
      </c>
      <c r="D1" s="380"/>
      <c r="E1" s="381">
        <f>'إدخال البيانات'!C1</f>
        <v>0</v>
      </c>
      <c r="F1" s="382"/>
      <c r="G1" s="382"/>
      <c r="H1" s="380" t="s">
        <v>3</v>
      </c>
      <c r="I1" s="380"/>
      <c r="J1" s="380"/>
      <c r="K1" s="191"/>
      <c r="L1" s="383">
        <f>'إدخال البيانات'!D1</f>
        <v>0</v>
      </c>
      <c r="M1" s="383"/>
      <c r="N1" s="383"/>
      <c r="O1" s="379" t="s">
        <v>4</v>
      </c>
      <c r="P1" s="379"/>
      <c r="Q1" s="383">
        <f>'إدخال البيانات'!A9</f>
        <v>0</v>
      </c>
      <c r="R1" s="383"/>
      <c r="S1" s="383"/>
      <c r="T1" s="383"/>
      <c r="U1" s="379" t="s">
        <v>5</v>
      </c>
      <c r="V1" s="379"/>
      <c r="W1" s="192">
        <f>'إدخال البيانات'!B9</f>
        <v>0</v>
      </c>
      <c r="X1" s="379" t="s">
        <v>53</v>
      </c>
      <c r="Y1" s="379"/>
      <c r="Z1" s="379"/>
      <c r="AA1" s="194"/>
      <c r="AB1" s="385">
        <f>'إدخال البيانات'!A12</f>
        <v>0</v>
      </c>
      <c r="AC1" s="385"/>
      <c r="AD1" s="193" t="s">
        <v>6</v>
      </c>
      <c r="AE1" s="383">
        <f>'إدخال البيانات'!B12</f>
        <v>0</v>
      </c>
      <c r="AF1" s="383"/>
      <c r="AG1" s="383"/>
      <c r="AH1" s="391"/>
      <c r="AI1" s="391"/>
      <c r="AJ1" s="137"/>
      <c r="AK1" s="137"/>
      <c r="AL1" s="64"/>
      <c r="AO1" s="58" t="s">
        <v>72</v>
      </c>
      <c r="AV1"/>
      <c r="AW1"/>
      <c r="AX1" s="81"/>
      <c r="AY1" s="81"/>
      <c r="AZ1" s="81"/>
      <c r="BA1" s="81"/>
      <c r="BB1" s="81"/>
      <c r="BC1" s="81"/>
    </row>
    <row r="2" spans="1:57" s="64" customFormat="1" ht="21" customHeight="1" thickTop="1" x14ac:dyDescent="0.25">
      <c r="B2" s="190"/>
      <c r="C2" s="380" t="s">
        <v>9</v>
      </c>
      <c r="D2" s="380"/>
      <c r="E2" s="383">
        <f>'إدخال البيانات'!G6</f>
        <v>0</v>
      </c>
      <c r="F2" s="383"/>
      <c r="G2" s="383"/>
      <c r="H2" s="383">
        <f>'إدخال البيانات'!F9</f>
        <v>0</v>
      </c>
      <c r="I2" s="383"/>
      <c r="J2" s="383"/>
      <c r="K2" s="383"/>
      <c r="L2" s="383"/>
      <c r="M2" s="383"/>
      <c r="N2" s="383"/>
      <c r="O2" s="379" t="s">
        <v>82</v>
      </c>
      <c r="P2" s="379"/>
      <c r="Q2" s="383">
        <f>'إدخال البيانات'!E9</f>
        <v>0</v>
      </c>
      <c r="R2" s="383"/>
      <c r="S2" s="383"/>
      <c r="T2" s="383"/>
      <c r="U2" s="379" t="s">
        <v>83</v>
      </c>
      <c r="V2" s="379"/>
      <c r="W2" s="192">
        <f>'إدخال البيانات'!D9</f>
        <v>0</v>
      </c>
      <c r="X2" s="379" t="s">
        <v>84</v>
      </c>
      <c r="Y2" s="379"/>
      <c r="Z2" s="379"/>
      <c r="AA2" s="195"/>
      <c r="AB2" s="385">
        <f>'إدخال البيانات'!C9</f>
        <v>0</v>
      </c>
      <c r="AC2" s="385"/>
      <c r="AD2" s="193" t="s">
        <v>85</v>
      </c>
      <c r="AE2" s="393"/>
      <c r="AF2" s="393"/>
      <c r="AG2" s="393"/>
      <c r="AH2" s="391"/>
      <c r="AI2" s="391"/>
      <c r="AJ2" s="137"/>
      <c r="AK2" s="137"/>
      <c r="AO2" s="64" t="s">
        <v>73</v>
      </c>
      <c r="AV2"/>
      <c r="AW2"/>
      <c r="AX2" s="81"/>
      <c r="AY2" s="81"/>
      <c r="AZ2" s="81"/>
      <c r="BA2" s="81"/>
      <c r="BB2" s="81"/>
      <c r="BC2" s="81"/>
    </row>
    <row r="3" spans="1:57" s="64" customFormat="1" ht="21" customHeight="1" x14ac:dyDescent="0.25">
      <c r="B3" s="380" t="s">
        <v>11</v>
      </c>
      <c r="C3" s="380"/>
      <c r="D3" s="380"/>
      <c r="E3" s="387">
        <f>'إدخال البيانات'!D12</f>
        <v>0</v>
      </c>
      <c r="F3" s="387"/>
      <c r="G3" s="387"/>
      <c r="H3" s="380" t="s">
        <v>10</v>
      </c>
      <c r="I3" s="380"/>
      <c r="J3" s="380"/>
      <c r="K3" s="197"/>
      <c r="L3" s="383">
        <f>'إدخال البيانات'!C12</f>
        <v>0</v>
      </c>
      <c r="M3" s="383"/>
      <c r="N3" s="383"/>
      <c r="O3" s="379" t="s">
        <v>54</v>
      </c>
      <c r="P3" s="379"/>
      <c r="Q3" s="383">
        <f>IF(OR(L3='إدخال البيانات'!J4,'اختيار المقررات'!L3='إدخال البيانات'!J5),'إدخال البيانات'!A6,'إدخال البيانات'!B6)</f>
        <v>0</v>
      </c>
      <c r="R3" s="383"/>
      <c r="S3" s="383"/>
      <c r="T3" s="383"/>
      <c r="U3" s="379" t="s">
        <v>16</v>
      </c>
      <c r="V3" s="379"/>
      <c r="W3" s="196" t="str">
        <f>IFERROR(IF(L3&lt;&gt;'إدخال البيانات'!J4,'إدخال البيانات'!M19,VLOOKUP(LEFT('إدخال البيانات'!A6,2),'إدخال البيانات'!L4:M17,2,0)),"")</f>
        <v>غير سوري</v>
      </c>
      <c r="X3" s="379" t="s">
        <v>86</v>
      </c>
      <c r="Y3" s="379"/>
      <c r="Z3" s="379"/>
      <c r="AA3" s="198"/>
      <c r="AB3" s="384" t="str">
        <f>IF(L3&lt;&gt;'إدخال البيانات'!J4,"غير سوري",'إدخال البيانات'!C6)</f>
        <v>غير سوري</v>
      </c>
      <c r="AC3" s="384"/>
      <c r="AD3" s="193" t="s">
        <v>67</v>
      </c>
      <c r="AE3" s="387">
        <f>'إدخال البيانات'!G6</f>
        <v>0</v>
      </c>
      <c r="AF3" s="387"/>
      <c r="AG3" s="387"/>
      <c r="AH3" s="392"/>
      <c r="AI3" s="392"/>
      <c r="AJ3" s="137"/>
      <c r="AK3" s="137"/>
      <c r="AO3" s="64" t="s">
        <v>47</v>
      </c>
      <c r="AV3"/>
      <c r="AW3"/>
      <c r="AX3" s="81"/>
      <c r="AY3" s="81"/>
      <c r="AZ3" s="81"/>
      <c r="BA3" s="81"/>
      <c r="BB3" s="81"/>
      <c r="BC3" s="81"/>
    </row>
    <row r="4" spans="1:57" s="64" customFormat="1" ht="21" customHeight="1" thickBot="1" x14ac:dyDescent="0.3">
      <c r="B4" s="190"/>
      <c r="C4" s="380" t="s">
        <v>12</v>
      </c>
      <c r="D4" s="380"/>
      <c r="E4" s="387">
        <f>'إدخال البيانات'!E12</f>
        <v>0</v>
      </c>
      <c r="F4" s="387"/>
      <c r="G4" s="387"/>
      <c r="H4" s="380" t="s">
        <v>13</v>
      </c>
      <c r="I4" s="380"/>
      <c r="J4" s="380"/>
      <c r="K4" s="199"/>
      <c r="L4" s="383">
        <f>'إدخال البيانات'!F12</f>
        <v>0</v>
      </c>
      <c r="M4" s="383"/>
      <c r="N4" s="383"/>
      <c r="O4" s="379" t="s">
        <v>14</v>
      </c>
      <c r="P4" s="379"/>
      <c r="Q4" s="383">
        <f>'إدخال البيانات'!G12</f>
        <v>0</v>
      </c>
      <c r="R4" s="383"/>
      <c r="S4" s="383"/>
      <c r="T4" s="383"/>
      <c r="U4" s="379" t="s">
        <v>65</v>
      </c>
      <c r="V4" s="379"/>
      <c r="W4" s="200">
        <f>'إدخال البيانات'!E6</f>
        <v>0</v>
      </c>
      <c r="X4" s="379" t="s">
        <v>66</v>
      </c>
      <c r="Y4" s="379"/>
      <c r="Z4" s="379"/>
      <c r="AA4" s="198"/>
      <c r="AB4" s="390">
        <f>'إدخال البيانات'!D6</f>
        <v>0</v>
      </c>
      <c r="AC4" s="384"/>
      <c r="AD4" s="193" t="s">
        <v>58</v>
      </c>
      <c r="AE4" s="387">
        <f>'إدخال البيانات'!F6</f>
        <v>0</v>
      </c>
      <c r="AF4" s="387"/>
      <c r="AG4" s="387"/>
      <c r="AH4" s="387"/>
      <c r="AI4" s="387"/>
      <c r="AJ4" s="137"/>
      <c r="AK4" s="137">
        <f>الإستمارة!AJ1</f>
        <v>18</v>
      </c>
      <c r="AM4" s="58"/>
      <c r="AO4" s="42" t="s">
        <v>60</v>
      </c>
      <c r="AV4"/>
      <c r="AW4"/>
      <c r="AX4" s="81"/>
      <c r="AY4" s="81"/>
      <c r="AZ4" s="81"/>
      <c r="BA4" s="81"/>
      <c r="BB4" s="81"/>
      <c r="BC4" s="81" t="s">
        <v>87</v>
      </c>
    </row>
    <row r="5" spans="1:57" s="64" customFormat="1" ht="21" customHeight="1" thickTop="1" x14ac:dyDescent="0.25">
      <c r="B5" s="198"/>
      <c r="C5" s="388" t="s">
        <v>71</v>
      </c>
      <c r="D5" s="388"/>
      <c r="E5" s="388"/>
      <c r="F5" s="389"/>
      <c r="G5" s="389"/>
      <c r="H5" s="389"/>
      <c r="I5" s="389"/>
      <c r="J5" s="389"/>
      <c r="K5" s="389"/>
      <c r="L5" s="389"/>
      <c r="M5" s="389"/>
      <c r="N5" s="389"/>
      <c r="O5" s="379" t="s">
        <v>220</v>
      </c>
      <c r="P5" s="379"/>
      <c r="Q5" s="383"/>
      <c r="R5" s="383"/>
      <c r="S5" s="383"/>
      <c r="T5" s="383"/>
      <c r="U5" s="379" t="s">
        <v>0</v>
      </c>
      <c r="V5" s="379"/>
      <c r="W5" s="211"/>
      <c r="X5" s="379" t="s">
        <v>221</v>
      </c>
      <c r="Y5" s="379"/>
      <c r="Z5" s="379"/>
      <c r="AA5" s="198"/>
      <c r="AB5" s="386">
        <v>0</v>
      </c>
      <c r="AC5" s="386"/>
      <c r="AD5" s="201"/>
      <c r="AE5" s="202"/>
      <c r="AF5" s="202"/>
      <c r="AG5" s="202"/>
      <c r="AH5" s="201"/>
      <c r="AI5" s="201"/>
      <c r="AJ5" s="137"/>
      <c r="AK5" s="137"/>
      <c r="AL5" s="140"/>
      <c r="AO5" s="64" t="s">
        <v>182</v>
      </c>
      <c r="AU5" s="64">
        <v>1</v>
      </c>
      <c r="AV5" s="118">
        <v>103</v>
      </c>
      <c r="AW5" s="119" t="s">
        <v>130</v>
      </c>
      <c r="AX5" s="120">
        <f>H8</f>
        <v>0</v>
      </c>
      <c r="AY5" s="120" t="e">
        <f>IF(VLOOKUP($E$1,#REF!,MATCH(AV5,#REF!,0),0)="","",VLOOKUP($E$1,#REF!,MATCH(AV5,#REF!,0),0))</f>
        <v>#REF!</v>
      </c>
      <c r="AZ5" s="82"/>
      <c r="BA5" s="48"/>
      <c r="BC5" s="64" t="s">
        <v>88</v>
      </c>
      <c r="BE5" s="48"/>
    </row>
    <row r="6" spans="1:57" ht="43.5" customHeight="1" thickBot="1" x14ac:dyDescent="0.3">
      <c r="A6"/>
      <c r="B6" s="358" t="str">
        <f>IF(E2="مستنفذ","استنفذت فرص التسجيل في برنامج رياض الأطفال بسبب رسوبك لمدة ثلاث سنوات متتالية","مقررات السنة الأولى")</f>
        <v>مقررات السنة الأولى</v>
      </c>
      <c r="C6" s="358"/>
      <c r="D6" s="358"/>
      <c r="E6" s="358"/>
      <c r="F6" s="358"/>
      <c r="G6" s="358"/>
      <c r="H6" s="358"/>
      <c r="I6" s="358"/>
      <c r="J6" s="358"/>
      <c r="K6" s="358"/>
      <c r="L6" s="358"/>
      <c r="M6" s="358"/>
      <c r="N6" s="358"/>
      <c r="O6" s="358"/>
      <c r="P6" s="358"/>
      <c r="Q6" s="358"/>
      <c r="R6" s="359"/>
      <c r="S6" s="212"/>
      <c r="T6" s="367" t="str">
        <f>IF(E1&lt;&gt;"","مقررات السنة الثالثة","لايحق لك تعديل الاستمارة بعد تثبيت التسجيل تحت طائلة إلغاء التسجيل")</f>
        <v>مقررات السنة الثالثة</v>
      </c>
      <c r="U6" s="368"/>
      <c r="V6" s="368"/>
      <c r="W6" s="368"/>
      <c r="X6" s="368"/>
      <c r="Y6" s="368"/>
      <c r="Z6" s="368"/>
      <c r="AA6" s="368"/>
      <c r="AB6" s="368"/>
      <c r="AC6" s="368"/>
      <c r="AD6" s="368"/>
      <c r="AE6" s="368"/>
      <c r="AF6" s="368"/>
      <c r="AG6" s="368"/>
      <c r="AH6" s="213"/>
      <c r="AI6" s="213"/>
      <c r="AJ6" s="137"/>
      <c r="AK6" s="137"/>
      <c r="AL6" s="64"/>
      <c r="AN6" s="64"/>
      <c r="AO6" s="64" t="s">
        <v>74</v>
      </c>
      <c r="AU6" s="64">
        <v>2</v>
      </c>
      <c r="AV6" s="121">
        <v>104</v>
      </c>
      <c r="AW6" s="122" t="s">
        <v>131</v>
      </c>
      <c r="AX6" s="120">
        <f t="shared" ref="AX6:AX10" si="0">H9</f>
        <v>0</v>
      </c>
      <c r="AY6" s="120" t="e">
        <f>IF(VLOOKUP($E$1,#REF!,MATCH(AV6,#REF!,0),0)="","",VLOOKUP($E$1,#REF!,MATCH(AV6,#REF!,0),0))</f>
        <v>#REF!</v>
      </c>
      <c r="AZ6" s="48"/>
      <c r="BC6" s="157"/>
      <c r="BD6" s="157"/>
      <c r="BE6" s="48"/>
    </row>
    <row r="7" spans="1:57" ht="23.25" customHeight="1" thickBot="1" x14ac:dyDescent="0.3">
      <c r="B7" s="339" t="s">
        <v>17</v>
      </c>
      <c r="C7" s="339"/>
      <c r="D7" s="339"/>
      <c r="E7" s="339"/>
      <c r="F7" s="339"/>
      <c r="G7" s="339"/>
      <c r="H7" s="339"/>
      <c r="I7" s="340"/>
      <c r="J7" s="141"/>
      <c r="K7" s="155"/>
      <c r="L7" s="341" t="s">
        <v>20</v>
      </c>
      <c r="M7" s="339"/>
      <c r="N7" s="339"/>
      <c r="O7" s="339"/>
      <c r="P7" s="339"/>
      <c r="Q7" s="340"/>
      <c r="R7" s="95"/>
      <c r="S7" s="96"/>
      <c r="T7" s="342" t="s">
        <v>21</v>
      </c>
      <c r="U7" s="343"/>
      <c r="V7" s="343"/>
      <c r="W7" s="343"/>
      <c r="X7" s="343"/>
      <c r="Y7" s="344"/>
      <c r="Z7" s="141"/>
      <c r="AA7" s="97"/>
      <c r="AB7" s="342" t="s">
        <v>20</v>
      </c>
      <c r="AC7" s="343"/>
      <c r="AD7" s="343"/>
      <c r="AE7" s="343"/>
      <c r="AF7" s="343"/>
      <c r="AG7" s="344"/>
      <c r="AH7" s="137"/>
      <c r="AI7" s="137"/>
      <c r="AJ7" s="137"/>
      <c r="AK7" s="138"/>
      <c r="AL7" s="64"/>
      <c r="AN7" s="64"/>
      <c r="AO7" s="64" t="s">
        <v>8</v>
      </c>
      <c r="AU7" s="64">
        <v>3</v>
      </c>
      <c r="AV7" s="121">
        <v>105</v>
      </c>
      <c r="AW7" s="122" t="s">
        <v>132</v>
      </c>
      <c r="AX7" s="120">
        <f t="shared" si="0"/>
        <v>0</v>
      </c>
      <c r="AY7" s="120" t="e">
        <f>IF(VLOOKUP($E$1,#REF!,MATCH(AV7,#REF!,0),0)="","",VLOOKUP($E$1,#REF!,MATCH(AV7,#REF!,0),0))</f>
        <v>#REF!</v>
      </c>
      <c r="AZ7" s="49"/>
      <c r="BC7" s="50"/>
      <c r="BD7" s="50"/>
      <c r="BE7" s="49"/>
    </row>
    <row r="8" spans="1:57" ht="19.2" customHeight="1" x14ac:dyDescent="0.3">
      <c r="A8" s="38" t="str">
        <f>IF(AND(I8&lt;&gt;"",OR(H8=1,H8=2,H8=3)),1,"")</f>
        <v/>
      </c>
      <c r="B8" s="98" t="b">
        <f>IF(AND(I8="A",H8=1),50000,IF(I8="B",IF(OR(H8=1,H8=2,H8=3),IF(OR($F$5=$AO$7,$F$5=$AO$9),0,IF(OR($F$5=$AO$3,$F$5=$AO$6),IF(H8=1,12500,IF(H8=2,17500,IF(H8=3,22500,""))),IF($F$5=$AO$4,500,IF(OR($F$5=$AO$1,$F$5=$AO$5,$F$5=$AO$8,$F$5=$AO$2),IF(H8=1,20000,IF(H8=2,28000,IF(H8=3,36000,""))),IF(H8=1,25000,IF(H8=2,35000,IF(H8=3,45000,""))))))))))</f>
        <v>0</v>
      </c>
      <c r="C8" s="204">
        <v>103</v>
      </c>
      <c r="D8" s="360" t="s">
        <v>130</v>
      </c>
      <c r="E8" s="360"/>
      <c r="F8" s="360"/>
      <c r="G8" s="360"/>
      <c r="H8" s="106"/>
      <c r="I8" s="207" t="s">
        <v>257</v>
      </c>
      <c r="J8" s="149" t="str">
        <f>IF(AND(Q8&lt;&gt;"",OR(P8=1,P8=2,P8=3)),7,"")</f>
        <v/>
      </c>
      <c r="K8" s="98" t="b">
        <f>IF(AND(Q8="A",P8=1),50000,IF(Q8="B",IF(OR(P8=1,P8=2,P8=3),IF(OR($F$5=$AO$7,$F$5=$AO$9),0,IF(OR($F$5=$AO$3,$F$5=$AO$6),IF(P8=1,12500,IF(P8=2,17500,IF(P8=3,22500,""))),IF($F$5=$AO$4,500,IF(OR($F$5=$AO$1,$F$5=$AO$5,$F$5=$AO$8,$F$5=$AO$2),IF(P8=1,20000,IF(P8=2,28000,IF(P8=3,36000,""))),IF(P8=1,25000,IF(P8=2,35000,IF(P8=3,45000,""))))))))))</f>
        <v>0</v>
      </c>
      <c r="L8" s="204">
        <v>204</v>
      </c>
      <c r="M8" s="361" t="s">
        <v>136</v>
      </c>
      <c r="N8" s="361"/>
      <c r="O8" s="361"/>
      <c r="P8" s="106"/>
      <c r="Q8" s="207" t="s">
        <v>257</v>
      </c>
      <c r="R8" s="95" t="str">
        <f>IF(AND(Y8&lt;&gt;"",OR(X8=1,X8=2,X8=3)),26,"")</f>
        <v/>
      </c>
      <c r="S8" s="98" t="b">
        <f>IF(AND(Y8="A",X8=1),50000,IF(Y8="B",IF(OR(X8=1,X8=2,X8=3),IF(OR($F$5=$AO$7,$F$5=$AO$9),0,IF(OR($F$5=$AO$3,$F$5=$AO$6),IF(X8=1,12500,IF(X8=2,17500,IF(X8=3,22500,""))),IF($F$5=$AO$4,500,IF(OR($F$5=$AO$1,$F$5=$AO$5,$F$5=$AO$8,$F$5=$AO$2),IF(X8=1,20000,IF(X8=2,28000,IF(X8=3,36000,""))),IF(X8=1,25000,IF(X8=2,35000,IF(X8=3,45000,""))))))))))</f>
        <v>0</v>
      </c>
      <c r="T8" s="204">
        <v>504</v>
      </c>
      <c r="U8" s="370" t="s">
        <v>141</v>
      </c>
      <c r="V8" s="370"/>
      <c r="W8" s="370"/>
      <c r="X8" s="106"/>
      <c r="Y8" s="207" t="s">
        <v>257</v>
      </c>
      <c r="Z8" s="149" t="str">
        <f>IF(AND(AG8&lt;&gt;"",OR(AF8=1,AF8=2,AF8=3)),32,"")</f>
        <v/>
      </c>
      <c r="AA8" s="98" t="b">
        <f>IF(AND(AG8="A",AF8=1),50000,IF(AG8="B",IF(OR(AF8=1,AF8=2,AF8=3),IF(OR($F$5=$AO$7,$F$5=$AO$9),0,IF(OR($F$5=$AO$3,$F$5=$AO$6),IF(AF8=1,12500,IF(AF8=2,17500,IF(AF8=3,22500,""))),IF($F$5=$AO$4,500,IF(OR($F$5=$AO$1,$F$5=$AO$5,$F$5=$AO$8,$F$5=$AO$2),IF(AF8=1,20000,IF(AF8=2,28000,IF(AF8=3,36000,""))),IF(AF8=1,25000,IF(AF8=2,35000,IF(AF8=3,45000,""))))))))))</f>
        <v>0</v>
      </c>
      <c r="AB8" s="204">
        <v>604</v>
      </c>
      <c r="AC8" s="357" t="s">
        <v>147</v>
      </c>
      <c r="AD8" s="357"/>
      <c r="AE8" s="357"/>
      <c r="AF8" s="106"/>
      <c r="AG8" s="207" t="s">
        <v>257</v>
      </c>
      <c r="AH8" s="139"/>
      <c r="AI8" s="139"/>
      <c r="AJ8" s="139"/>
      <c r="AK8" s="138"/>
      <c r="AL8" s="64" t="str">
        <f t="shared" ref="AL8:AL13" si="1">IF(A8&lt;&gt;"",A8,"")</f>
        <v/>
      </c>
      <c r="AM8" s="1">
        <v>1</v>
      </c>
      <c r="AN8" s="64"/>
      <c r="AO8" s="1" t="s">
        <v>183</v>
      </c>
      <c r="AU8" s="64">
        <v>4</v>
      </c>
      <c r="AV8" s="121">
        <v>106</v>
      </c>
      <c r="AW8" s="122" t="s">
        <v>133</v>
      </c>
      <c r="AX8" s="120">
        <f t="shared" si="0"/>
        <v>0</v>
      </c>
      <c r="AY8" s="120" t="e">
        <f>IF(VLOOKUP($E$1,#REF!,MATCH(AV8,#REF!,0),0)="","",VLOOKUP($E$1,#REF!,MATCH(AV8,#REF!,0),0))</f>
        <v>#REF!</v>
      </c>
      <c r="AZ8" s="49"/>
      <c r="BC8" s="50"/>
      <c r="BD8" s="50"/>
      <c r="BE8" s="49"/>
    </row>
    <row r="9" spans="1:57" ht="19.2" customHeight="1" x14ac:dyDescent="0.25">
      <c r="A9" s="38" t="str">
        <f>IF(AND(I9&lt;&gt;"",OR(H9=1,H9=2,H9=3)),2,"")</f>
        <v/>
      </c>
      <c r="B9" s="98" t="b">
        <f t="shared" ref="B9:B13" si="2">IF(AND(I9="A",H9=1),50000,IF(I9="B",IF(OR(H9=1,H9=2,H9=3),IF(OR($F$5=$AO$7,$F$5=$AO$9),0,IF(OR($F$5=$AO$3,$F$5=$AO$6),IF(H9=1,12500,IF(H9=2,17500,IF(H9=3,22500,""))),IF($F$5=$AO$4,500,IF(OR($F$5=$AO$1,$F$5=$AO$5,$F$5=$AO$8,$F$5=$AO$2),IF(H9=1,20000,IF(H9=2,28000,IF(H9=3,36000,""))),IF(H9=1,25000,IF(H9=2,35000,IF(H9=3,45000,""))))))))))</f>
        <v>0</v>
      </c>
      <c r="C9" s="205">
        <v>104</v>
      </c>
      <c r="D9" s="362" t="s">
        <v>131</v>
      </c>
      <c r="E9" s="362"/>
      <c r="F9" s="362"/>
      <c r="G9" s="362"/>
      <c r="H9" s="110"/>
      <c r="I9" s="207" t="s">
        <v>257</v>
      </c>
      <c r="J9" s="149" t="str">
        <f>IF(AND(Q9&lt;&gt;"",OR(P9=1,P9=2,P9=3)),8,"")</f>
        <v/>
      </c>
      <c r="K9" s="98" t="b">
        <f t="shared" ref="K9:K12" si="3">IF(AND(Q9="A",P9=1),50000,IF(Q9="B",IF(OR(P9=1,P9=2,P9=3),IF(OR($F$5=$AO$7,$F$5=$AO$9),0,IF(OR($F$5=$AO$3,$F$5=$AO$6),IF(P9=1,12500,IF(P9=2,17500,IF(P9=3,22500,""))),IF($F$5=$AO$4,500,IF(OR($F$5=$AO$1,$F$5=$AO$5,$F$5=$AO$8,$F$5=$AO$2),IF(P9=1,20000,IF(P9=2,28000,IF(P9=3,36000,""))),IF(P9=1,25000,IF(P9=2,35000,IF(P9=3,45000,""))))))))))</f>
        <v>0</v>
      </c>
      <c r="L9" s="205">
        <v>205</v>
      </c>
      <c r="M9" s="352" t="s">
        <v>137</v>
      </c>
      <c r="N9" s="352"/>
      <c r="O9" s="352"/>
      <c r="P9" s="110"/>
      <c r="Q9" s="207" t="s">
        <v>257</v>
      </c>
      <c r="R9" s="95" t="str">
        <f>IF(AND(Y9&lt;&gt;"",OR(X9=1,X9=2,X9=3)),27,"")</f>
        <v/>
      </c>
      <c r="S9" s="98" t="b">
        <f t="shared" ref="S9:S13" si="4">IF(AND(Y9="A",X9=1),50000,IF(Y9="B",IF(OR(X9=1,X9=2,X9=3),IF(OR($F$5=$AO$7,$F$5=$AO$9),0,IF(OR($F$5=$AO$3,$F$5=$AO$6),IF(X9=1,12500,IF(X9=2,17500,IF(X9=3,22500,""))),IF($F$5=$AO$4,500,IF(OR($F$5=$AO$1,$F$5=$AO$5,$F$5=$AO$8,$F$5=$AO$2),IF(X9=1,20000,IF(X9=2,28000,IF(X9=3,36000,""))),IF(X9=1,25000,IF(X9=2,35000,IF(X9=3,45000,""))))))))))</f>
        <v>0</v>
      </c>
      <c r="T9" s="205">
        <v>505</v>
      </c>
      <c r="U9" s="348" t="s">
        <v>142</v>
      </c>
      <c r="V9" s="348"/>
      <c r="W9" s="348"/>
      <c r="X9" s="110"/>
      <c r="Y9" s="207" t="s">
        <v>257</v>
      </c>
      <c r="Z9" s="149" t="str">
        <f>IF(AND(AG9&lt;&gt;"",OR(AF9=1,AF9=2,AF9=3)),33,"")</f>
        <v/>
      </c>
      <c r="AA9" s="98" t="b">
        <f t="shared" ref="AA9:AA13" si="5">IF(AND(AG9="A",AF9=1),50000,IF(AG9="B",IF(OR(AF9=1,AF9=2,AF9=3),IF(OR($F$5=$AO$7,$F$5=$AO$9),0,IF(OR($F$5=$AO$3,$F$5=$AO$6),IF(AF9=1,12500,IF(AF9=2,17500,IF(AF9=3,22500,""))),IF($F$5=$AO$4,500,IF(OR($F$5=$AO$1,$F$5=$AO$5,$F$5=$AO$8,$F$5=$AO$2),IF(AF9=1,20000,IF(AF9=2,28000,IF(AF9=3,36000,""))),IF(AF9=1,25000,IF(AF9=2,35000,IF(AF9=3,45000,""))))))))))</f>
        <v>0</v>
      </c>
      <c r="AB9" s="205">
        <v>605</v>
      </c>
      <c r="AC9" s="356" t="s">
        <v>148</v>
      </c>
      <c r="AD9" s="356"/>
      <c r="AE9" s="356"/>
      <c r="AF9" s="110"/>
      <c r="AG9" s="207" t="s">
        <v>257</v>
      </c>
      <c r="AH9" s="375"/>
      <c r="AI9" s="376"/>
      <c r="AJ9" s="376"/>
      <c r="AK9" s="138"/>
      <c r="AL9" s="64" t="str">
        <f t="shared" si="1"/>
        <v/>
      </c>
      <c r="AM9" s="1">
        <v>2</v>
      </c>
      <c r="AO9" s="1" t="s">
        <v>15</v>
      </c>
      <c r="AU9" s="64">
        <v>5</v>
      </c>
      <c r="AV9" s="121">
        <v>107</v>
      </c>
      <c r="AW9" s="122" t="s">
        <v>134</v>
      </c>
      <c r="AX9" s="120">
        <f t="shared" si="0"/>
        <v>0</v>
      </c>
      <c r="AY9" s="120" t="e">
        <f>IF(VLOOKUP($E$1,#REF!,MATCH(AV9,#REF!,0),0)="","",VLOOKUP($E$1,#REF!,MATCH(AV9,#REF!,0),0))</f>
        <v>#REF!</v>
      </c>
      <c r="AZ9" s="48"/>
      <c r="BC9" s="157"/>
      <c r="BD9" s="157"/>
      <c r="BE9" s="48"/>
    </row>
    <row r="10" spans="1:57" ht="19.2" customHeight="1" x14ac:dyDescent="0.25">
      <c r="A10" s="38" t="str">
        <f>IF(AND(I10&lt;&gt;"",OR(H10=1,H10=2,H10=3)),3,"")</f>
        <v/>
      </c>
      <c r="B10" s="98" t="b">
        <f t="shared" si="2"/>
        <v>0</v>
      </c>
      <c r="C10" s="205">
        <v>105</v>
      </c>
      <c r="D10" s="351" t="s">
        <v>132</v>
      </c>
      <c r="E10" s="351"/>
      <c r="F10" s="351"/>
      <c r="G10" s="351"/>
      <c r="H10" s="110"/>
      <c r="I10" s="207" t="s">
        <v>257</v>
      </c>
      <c r="J10" s="149" t="str">
        <f>IF(AND(Q10&lt;&gt;"",OR(P10=1,P10=2,P10=3)),9,"")</f>
        <v/>
      </c>
      <c r="K10" s="98" t="b">
        <f t="shared" si="3"/>
        <v>0</v>
      </c>
      <c r="L10" s="205">
        <v>206</v>
      </c>
      <c r="M10" s="352" t="s">
        <v>138</v>
      </c>
      <c r="N10" s="352"/>
      <c r="O10" s="352"/>
      <c r="P10" s="110"/>
      <c r="Q10" s="207" t="s">
        <v>257</v>
      </c>
      <c r="R10" s="95" t="str">
        <f>IF(AND(Y10&lt;&gt;"",OR(X10=1,X10=2,X10=3)),28,"")</f>
        <v/>
      </c>
      <c r="S10" s="98" t="b">
        <f t="shared" si="4"/>
        <v>0</v>
      </c>
      <c r="T10" s="205">
        <v>506</v>
      </c>
      <c r="U10" s="352" t="s">
        <v>143</v>
      </c>
      <c r="V10" s="352"/>
      <c r="W10" s="352"/>
      <c r="X10" s="110"/>
      <c r="Y10" s="207" t="s">
        <v>257</v>
      </c>
      <c r="Z10" s="149" t="str">
        <f>IF(AND(AG10&lt;&gt;"",OR(AF10=1,AF10=2,AF10=3)),34,"")</f>
        <v/>
      </c>
      <c r="AA10" s="98" t="b">
        <f t="shared" si="5"/>
        <v>0</v>
      </c>
      <c r="AB10" s="205">
        <v>606</v>
      </c>
      <c r="AC10" s="351" t="s">
        <v>149</v>
      </c>
      <c r="AD10" s="351"/>
      <c r="AE10" s="351"/>
      <c r="AF10" s="110"/>
      <c r="AG10" s="207" t="s">
        <v>257</v>
      </c>
      <c r="AH10" s="377"/>
      <c r="AI10" s="378"/>
      <c r="AJ10" s="378"/>
      <c r="AK10" s="138"/>
      <c r="AL10" s="64" t="str">
        <f t="shared" si="1"/>
        <v/>
      </c>
      <c r="AM10" s="1">
        <v>3</v>
      </c>
      <c r="AU10" s="64">
        <v>6</v>
      </c>
      <c r="AV10" s="121">
        <v>108</v>
      </c>
      <c r="AW10" s="122" t="s">
        <v>135</v>
      </c>
      <c r="AX10" s="120">
        <f t="shared" si="0"/>
        <v>0</v>
      </c>
      <c r="AY10" s="120" t="e">
        <f>IF(VLOOKUP($E$1,#REF!,MATCH(AV10,#REF!,0),0)="","",VLOOKUP($E$1,#REF!,MATCH(AV10,#REF!,0),0))</f>
        <v>#REF!</v>
      </c>
      <c r="AZ10" s="48"/>
      <c r="BC10" s="157"/>
      <c r="BD10" s="157"/>
      <c r="BE10" s="48"/>
    </row>
    <row r="11" spans="1:57" ht="19.2" customHeight="1" x14ac:dyDescent="0.25">
      <c r="A11" s="38" t="str">
        <f>IF(AND(I11&lt;&gt;"",OR(H11=1,H11=2,H11=3)),4,"")</f>
        <v/>
      </c>
      <c r="B11" s="98" t="b">
        <f t="shared" si="2"/>
        <v>0</v>
      </c>
      <c r="C11" s="205">
        <v>106</v>
      </c>
      <c r="D11" s="352" t="s">
        <v>133</v>
      </c>
      <c r="E11" s="352"/>
      <c r="F11" s="352"/>
      <c r="G11" s="352"/>
      <c r="H11" s="110"/>
      <c r="I11" s="207" t="s">
        <v>257</v>
      </c>
      <c r="J11" s="149" t="str">
        <f>IF(AND(Q11&lt;&gt;"",OR(P11=1,P11=2,P11=3)),10,"")</f>
        <v/>
      </c>
      <c r="K11" s="98" t="b">
        <f t="shared" si="3"/>
        <v>0</v>
      </c>
      <c r="L11" s="205">
        <v>207</v>
      </c>
      <c r="M11" s="352" t="s">
        <v>139</v>
      </c>
      <c r="N11" s="352"/>
      <c r="O11" s="352"/>
      <c r="P11" s="110"/>
      <c r="Q11" s="207" t="s">
        <v>257</v>
      </c>
      <c r="R11" s="95" t="str">
        <f>IF(AND(Y11&lt;&gt;"",OR(X11=1,X11=2,X11=3)),29,"")</f>
        <v/>
      </c>
      <c r="S11" s="98" t="b">
        <f t="shared" si="4"/>
        <v>0</v>
      </c>
      <c r="T11" s="205">
        <v>507</v>
      </c>
      <c r="U11" s="348" t="s">
        <v>144</v>
      </c>
      <c r="V11" s="348"/>
      <c r="W11" s="348"/>
      <c r="X11" s="110"/>
      <c r="Y11" s="207" t="s">
        <v>257</v>
      </c>
      <c r="Z11" s="149" t="str">
        <f>IF(AND(AG11&lt;&gt;"",OR(AF11=1,AF11=2,AF11=3)),35,"")</f>
        <v/>
      </c>
      <c r="AA11" s="98" t="b">
        <f t="shared" si="5"/>
        <v>0</v>
      </c>
      <c r="AB11" s="205">
        <v>607</v>
      </c>
      <c r="AC11" s="356" t="s">
        <v>150</v>
      </c>
      <c r="AD11" s="356"/>
      <c r="AE11" s="356"/>
      <c r="AF11" s="110"/>
      <c r="AG11" s="207" t="s">
        <v>257</v>
      </c>
      <c r="AH11" s="377"/>
      <c r="AI11" s="378"/>
      <c r="AJ11" s="378"/>
      <c r="AK11" s="138"/>
      <c r="AL11" s="64" t="str">
        <f t="shared" si="1"/>
        <v/>
      </c>
      <c r="AM11" s="1">
        <v>4</v>
      </c>
      <c r="AU11" s="64">
        <v>7</v>
      </c>
      <c r="AV11" s="109">
        <v>204</v>
      </c>
      <c r="AW11" s="113" t="s">
        <v>136</v>
      </c>
      <c r="AX11" s="81">
        <f>P8</f>
        <v>0</v>
      </c>
      <c r="AY11" s="120" t="e">
        <f>IF(VLOOKUP($E$1,#REF!,MATCH(AV11,#REF!,0),0)="","",VLOOKUP($E$1,#REF!,MATCH(AV11,#REF!,0),0))</f>
        <v>#REF!</v>
      </c>
      <c r="AZ11" s="48"/>
      <c r="BC11" s="49"/>
      <c r="BD11" s="49"/>
      <c r="BE11" s="48"/>
    </row>
    <row r="12" spans="1:57" ht="19.2" customHeight="1" thickBot="1" x14ac:dyDescent="0.3">
      <c r="A12" s="38" t="str">
        <f>IF(AND(I12&lt;&gt;"",OR(H12=1,H12=2,H12=3)),5,"")</f>
        <v/>
      </c>
      <c r="B12" s="98" t="b">
        <f t="shared" si="2"/>
        <v>0</v>
      </c>
      <c r="C12" s="205">
        <v>107</v>
      </c>
      <c r="D12" s="352" t="s">
        <v>134</v>
      </c>
      <c r="E12" s="352"/>
      <c r="F12" s="352"/>
      <c r="G12" s="352"/>
      <c r="H12" s="110"/>
      <c r="I12" s="207" t="s">
        <v>257</v>
      </c>
      <c r="J12" s="149" t="str">
        <f>IF(AND(Q12&lt;&gt;"",OR(P12=1,P12=2,P12=3)),11,"")</f>
        <v/>
      </c>
      <c r="K12" s="98" t="b">
        <f t="shared" si="3"/>
        <v>0</v>
      </c>
      <c r="L12" s="206">
        <v>208</v>
      </c>
      <c r="M12" s="350" t="s">
        <v>140</v>
      </c>
      <c r="N12" s="350"/>
      <c r="O12" s="350"/>
      <c r="P12" s="110"/>
      <c r="Q12" s="207" t="s">
        <v>257</v>
      </c>
      <c r="R12" s="95" t="str">
        <f>IF(AND(Y12&lt;&gt;"",OR(X12=1,X12=2,X12=3)),30,"")</f>
        <v/>
      </c>
      <c r="S12" s="98" t="b">
        <f t="shared" si="4"/>
        <v>0</v>
      </c>
      <c r="T12" s="205">
        <v>508</v>
      </c>
      <c r="U12" s="348" t="s">
        <v>145</v>
      </c>
      <c r="V12" s="348"/>
      <c r="W12" s="348"/>
      <c r="X12" s="110"/>
      <c r="Y12" s="207" t="s">
        <v>257</v>
      </c>
      <c r="Z12" s="149" t="str">
        <f>IF(AND(AG12&lt;&gt;"",OR(AF12=1,AF12=2,AF12=3)),36,"")</f>
        <v/>
      </c>
      <c r="AA12" s="98" t="b">
        <f t="shared" si="5"/>
        <v>0</v>
      </c>
      <c r="AB12" s="205">
        <v>608</v>
      </c>
      <c r="AC12" s="356" t="s">
        <v>151</v>
      </c>
      <c r="AD12" s="356"/>
      <c r="AE12" s="356"/>
      <c r="AF12" s="110"/>
      <c r="AG12" s="207" t="s">
        <v>257</v>
      </c>
      <c r="AH12" s="373"/>
      <c r="AI12" s="373"/>
      <c r="AJ12" s="373"/>
      <c r="AK12" s="138"/>
      <c r="AL12" s="64" t="str">
        <f t="shared" si="1"/>
        <v/>
      </c>
      <c r="AM12" s="1">
        <v>5</v>
      </c>
      <c r="AU12" s="64">
        <v>8</v>
      </c>
      <c r="AV12" s="109">
        <v>205</v>
      </c>
      <c r="AW12" s="113" t="s">
        <v>137</v>
      </c>
      <c r="AX12" s="81">
        <f t="shared" ref="AX12:AX15" si="6">P9</f>
        <v>0</v>
      </c>
      <c r="AY12" s="120" t="e">
        <f>IF(VLOOKUP($E$1,#REF!,MATCH(AV12,#REF!,0),0)="","",VLOOKUP($E$1,#REF!,MATCH(AV12,#REF!,0),0))</f>
        <v>#REF!</v>
      </c>
      <c r="AZ12" s="48"/>
      <c r="BC12" s="48"/>
      <c r="BD12" s="48"/>
    </row>
    <row r="13" spans="1:57" ht="19.2" customHeight="1" thickBot="1" x14ac:dyDescent="0.3">
      <c r="A13" s="38" t="str">
        <f>IF(AND(I13&lt;&gt;"",OR(H13=1,H13=2,H13=3)),6,"")</f>
        <v/>
      </c>
      <c r="B13" s="98" t="b">
        <f t="shared" si="2"/>
        <v>0</v>
      </c>
      <c r="C13" s="206">
        <v>108</v>
      </c>
      <c r="D13" s="369" t="s">
        <v>135</v>
      </c>
      <c r="E13" s="369"/>
      <c r="F13" s="369"/>
      <c r="G13" s="369"/>
      <c r="H13" s="110"/>
      <c r="I13" s="207" t="s">
        <v>257</v>
      </c>
      <c r="J13" s="149"/>
      <c r="K13" s="98"/>
      <c r="L13" s="363"/>
      <c r="M13" s="364"/>
      <c r="N13" s="364"/>
      <c r="O13" s="364"/>
      <c r="P13" s="364"/>
      <c r="Q13" s="365"/>
      <c r="R13" s="95" t="str">
        <f>IF(AND(Y13&lt;&gt;"",OR(X13=1,X13=2,X13=3)),31,"")</f>
        <v/>
      </c>
      <c r="S13" s="98" t="b">
        <f t="shared" si="4"/>
        <v>0</v>
      </c>
      <c r="T13" s="206">
        <v>509</v>
      </c>
      <c r="U13" s="354" t="s">
        <v>146</v>
      </c>
      <c r="V13" s="354"/>
      <c r="W13" s="354"/>
      <c r="X13" s="110"/>
      <c r="Y13" s="207" t="s">
        <v>257</v>
      </c>
      <c r="Z13" s="149" t="str">
        <f>IF(AND(AG13&lt;&gt;"",OR(AF13=1,AF13=2,AF13=3)),37,"")</f>
        <v/>
      </c>
      <c r="AA13" s="98" t="b">
        <f t="shared" si="5"/>
        <v>0</v>
      </c>
      <c r="AB13" s="206">
        <v>609</v>
      </c>
      <c r="AC13" s="347" t="s">
        <v>152</v>
      </c>
      <c r="AD13" s="347"/>
      <c r="AE13" s="347"/>
      <c r="AF13" s="110"/>
      <c r="AG13" s="207" t="s">
        <v>257</v>
      </c>
      <c r="AH13" s="373"/>
      <c r="AI13" s="373"/>
      <c r="AJ13" s="373"/>
      <c r="AK13" s="138"/>
      <c r="AL13" s="64" t="str">
        <f t="shared" si="1"/>
        <v/>
      </c>
      <c r="AM13" s="1">
        <v>6</v>
      </c>
      <c r="AU13" s="64">
        <v>9</v>
      </c>
      <c r="AV13" s="109">
        <v>206</v>
      </c>
      <c r="AW13" s="113" t="s">
        <v>138</v>
      </c>
      <c r="AX13" s="81">
        <f t="shared" si="6"/>
        <v>0</v>
      </c>
      <c r="AY13" s="120" t="e">
        <f>IF(VLOOKUP($E$1,#REF!,MATCH(AV13,#REF!,0),0)="","",VLOOKUP($E$1,#REF!,MATCH(AV13,#REF!,0),0))</f>
        <v>#REF!</v>
      </c>
      <c r="AZ13" s="48"/>
      <c r="BC13" s="49"/>
      <c r="BD13" s="49"/>
    </row>
    <row r="14" spans="1:57" ht="16.8" hidden="1" x14ac:dyDescent="0.25">
      <c r="A14" s="366"/>
      <c r="B14" s="366"/>
      <c r="C14" s="366"/>
      <c r="D14" s="366"/>
      <c r="E14" s="366"/>
      <c r="F14" s="366"/>
      <c r="G14" s="366"/>
      <c r="H14" s="366"/>
      <c r="I14" s="366"/>
      <c r="J14" s="366"/>
      <c r="K14" s="366"/>
      <c r="L14" s="366"/>
      <c r="M14" s="366"/>
      <c r="N14" s="366"/>
      <c r="O14" s="366"/>
      <c r="P14" s="366"/>
      <c r="Q14" s="143"/>
      <c r="R14" s="95"/>
      <c r="S14" s="98"/>
      <c r="T14" s="355"/>
      <c r="U14" s="355"/>
      <c r="V14" s="355"/>
      <c r="W14" s="355"/>
      <c r="X14" s="355"/>
      <c r="Y14" s="355"/>
      <c r="Z14" s="355"/>
      <c r="AA14" s="355"/>
      <c r="AB14" s="355"/>
      <c r="AC14" s="355"/>
      <c r="AD14" s="355"/>
      <c r="AE14" s="355"/>
      <c r="AF14" s="355"/>
      <c r="AG14" s="143"/>
      <c r="AH14" s="373"/>
      <c r="AI14" s="373"/>
      <c r="AJ14" s="373"/>
      <c r="AK14" s="138"/>
      <c r="AL14" s="64" t="str">
        <f>IF(J8&lt;&gt;"",J8,"")</f>
        <v/>
      </c>
      <c r="AM14" s="1">
        <v>7</v>
      </c>
      <c r="AU14" s="64">
        <v>10</v>
      </c>
      <c r="AV14" s="109">
        <v>207</v>
      </c>
      <c r="AW14" s="113" t="s">
        <v>139</v>
      </c>
      <c r="AX14" s="81">
        <f t="shared" si="6"/>
        <v>0</v>
      </c>
      <c r="AY14" s="120" t="e">
        <f>IF(VLOOKUP($E$1,#REF!,MATCH(AV14,#REF!,0),0)="","",VLOOKUP($E$1,#REF!,MATCH(AV14,#REF!,0),0))</f>
        <v>#REF!</v>
      </c>
      <c r="AZ14" s="48"/>
      <c r="BC14" s="49"/>
      <c r="BD14" s="49"/>
    </row>
    <row r="15" spans="1:57" ht="17.399999999999999" hidden="1" thickBot="1" x14ac:dyDescent="0.3">
      <c r="A15" s="38" t="str">
        <f>IF(AND(I15&lt;&gt;"",H15=1),7,"")</f>
        <v/>
      </c>
      <c r="B15" s="98">
        <f>SUM(B8:B13)</f>
        <v>0</v>
      </c>
      <c r="C15" s="101"/>
      <c r="D15" s="102"/>
      <c r="E15" s="102"/>
      <c r="F15" s="102"/>
      <c r="G15" s="102">
        <f>COUNTIFS(I8:I13,1,H8:H13,1)</f>
        <v>0</v>
      </c>
      <c r="H15" s="99">
        <f>COUNTIFS(I8:I13,1,H8:H13,2)</f>
        <v>0</v>
      </c>
      <c r="I15" s="39">
        <f>COUNTIFS(I8:I13,1,H8:H13,3)</f>
        <v>0</v>
      </c>
      <c r="J15" s="142"/>
      <c r="K15" s="27">
        <f>SUM(K8:K12)</f>
        <v>0</v>
      </c>
      <c r="L15" s="28"/>
      <c r="M15" s="36"/>
      <c r="N15" s="36"/>
      <c r="O15" s="102">
        <f>COUNTIFS(Q8:Q13,1,P8:P13,1)</f>
        <v>0</v>
      </c>
      <c r="P15" s="99">
        <f>COUNTIFS(Q8:Q13,1,P8:P13,2)</f>
        <v>0</v>
      </c>
      <c r="Q15" s="39">
        <f>COUNTIFS(Q8:Q13,1,P8:P13,3)</f>
        <v>0</v>
      </c>
      <c r="R15" s="95"/>
      <c r="S15" s="98">
        <f>SUM(S8:S13)</f>
        <v>0</v>
      </c>
      <c r="T15" s="30"/>
      <c r="U15" s="31"/>
      <c r="V15" s="31"/>
      <c r="W15" s="102">
        <f>COUNTIFS(Y8:Y13,1,X8:X13,1)</f>
        <v>0</v>
      </c>
      <c r="X15" s="99">
        <f>COUNTIFS(Y8:Y13,1,X8:X13,2)</f>
        <v>0</v>
      </c>
      <c r="Y15" s="39">
        <f>COUNTIFS(Y8:Y13,1,X8:X13,3)</f>
        <v>0</v>
      </c>
      <c r="Z15" s="150"/>
      <c r="AA15" s="32">
        <f>SUM(AA8:AA13)</f>
        <v>0</v>
      </c>
      <c r="AB15" s="31"/>
      <c r="AC15" s="31"/>
      <c r="AD15" s="31"/>
      <c r="AE15" s="102">
        <f>COUNTIFS(AG8:AG13,1,AF8:AF13,1)</f>
        <v>0</v>
      </c>
      <c r="AF15" s="99">
        <f>COUNTIFS(AG8:AG13,1,AF8:AF13,2)</f>
        <v>0</v>
      </c>
      <c r="AG15" s="39">
        <f>COUNTIFS(AG8:AG13,1,AF8:AF13,3)</f>
        <v>0</v>
      </c>
      <c r="AH15" s="373"/>
      <c r="AI15" s="373"/>
      <c r="AJ15" s="373"/>
      <c r="AK15" s="138"/>
      <c r="AL15" s="64" t="str">
        <f t="shared" ref="AL15:AL18" si="7">IF(J9&lt;&gt;"",J9,"")</f>
        <v/>
      </c>
      <c r="AM15" s="1">
        <v>8</v>
      </c>
      <c r="AU15" s="64">
        <v>11</v>
      </c>
      <c r="AV15" s="109">
        <v>208</v>
      </c>
      <c r="AW15" s="113" t="s">
        <v>140</v>
      </c>
      <c r="AX15" s="81">
        <f t="shared" si="6"/>
        <v>0</v>
      </c>
      <c r="AY15" s="120" t="e">
        <f>IF(VLOOKUP($E$1,#REF!,MATCH(AV15,#REF!,0),0)="","",VLOOKUP($E$1,#REF!,MATCH(AV15,#REF!,0),0))</f>
        <v>#REF!</v>
      </c>
      <c r="AZ15" s="48"/>
      <c r="BA15"/>
      <c r="BC15" s="49"/>
      <c r="BD15" s="49"/>
    </row>
    <row r="16" spans="1:57" ht="21.6" thickBot="1" x14ac:dyDescent="0.3">
      <c r="A16" s="38"/>
      <c r="B16" s="371" t="s">
        <v>23</v>
      </c>
      <c r="C16" s="371"/>
      <c r="D16" s="371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2"/>
      <c r="R16" s="95"/>
      <c r="S16" s="156"/>
      <c r="T16" s="374" t="s">
        <v>24</v>
      </c>
      <c r="U16" s="371"/>
      <c r="V16" s="371"/>
      <c r="W16" s="371"/>
      <c r="X16" s="371"/>
      <c r="Y16" s="371"/>
      <c r="Z16" s="371"/>
      <c r="AA16" s="371"/>
      <c r="AB16" s="371"/>
      <c r="AC16" s="371"/>
      <c r="AD16" s="371"/>
      <c r="AE16" s="371"/>
      <c r="AF16" s="371"/>
      <c r="AG16" s="371"/>
      <c r="AH16" s="373"/>
      <c r="AI16" s="373"/>
      <c r="AJ16" s="373"/>
      <c r="AK16" s="138"/>
      <c r="AL16" s="64" t="str">
        <f t="shared" si="7"/>
        <v/>
      </c>
      <c r="AM16" s="1">
        <v>9</v>
      </c>
      <c r="AU16" s="64">
        <v>12</v>
      </c>
      <c r="AV16" s="121">
        <v>303</v>
      </c>
      <c r="AW16" s="122" t="s">
        <v>130</v>
      </c>
      <c r="AX16" s="120">
        <f>H17</f>
        <v>0</v>
      </c>
      <c r="AY16" s="120" t="e">
        <f>IF(VLOOKUP($E$1,#REF!,MATCH(AV16,#REF!,0),0)="","",VLOOKUP($E$1,#REF!,MATCH(AV16,#REF!,0),0))</f>
        <v>#REF!</v>
      </c>
      <c r="AZ16" s="48"/>
      <c r="BC16" s="49"/>
      <c r="BD16" s="49"/>
    </row>
    <row r="17" spans="1:57" ht="19.2" customHeight="1" x14ac:dyDescent="0.25">
      <c r="A17" s="38" t="str">
        <f>IF(AND(I17&lt;&gt;"",OR(H17=1,H17=2,H17=3)),12,"")</f>
        <v/>
      </c>
      <c r="B17" s="98" t="b">
        <f t="shared" ref="B17:B23" si="8">IF(AND(I17="A",H17=1),50000,IF(I17="B",IF(OR(H17=1,H17=2,H17=3),IF(OR($F$5=$AO$7,$F$5=$AO$9),0,IF(OR($F$5=$AO$3,$F$5=$AO$6),IF(H17=1,12500,IF(H17=2,17500,IF(H17=3,22500,""))),IF($F$5=$AO$4,500,IF(OR($F$5=$AO$1,$F$5=$AO$5,$F$5=$AO$8,$F$5=$AO$2),IF(H17=1,20000,IF(H17=2,28000,IF(H17=3,36000,""))),IF(H17=1,25000,IF(H17=2,35000,IF(H17=3,45000,""))))))))))</f>
        <v>0</v>
      </c>
      <c r="C17" s="204">
        <v>303</v>
      </c>
      <c r="D17" s="361" t="s">
        <v>130</v>
      </c>
      <c r="E17" s="361"/>
      <c r="F17" s="361"/>
      <c r="G17" s="361"/>
      <c r="H17" s="106"/>
      <c r="I17" s="207" t="s">
        <v>257</v>
      </c>
      <c r="J17" s="149" t="str">
        <f>IF(AND(Q17&lt;&gt;"",OR(P17=1,P17=2,P17=3)),19,"")</f>
        <v/>
      </c>
      <c r="K17" s="98" t="b">
        <f t="shared" ref="K17:K23" si="9">IF(AND(Q17="A",P17=1),50000,IF(Q17="B",IF(OR(P17=1,P17=2,P17=3),IF(OR($F$5=$AO$7,$F$5=$AO$9),0,IF(OR($F$5=$AO$3,$F$5=$AO$6),IF(P17=1,12500,IF(P17=2,17500,IF(P17=3,22500,""))),IF($F$5=$AO$4,500,IF(OR($F$5=$AO$1,$F$5=$AO$5,$F$5=$AO$8,$F$5=$AO$2),IF(P17=1,20000,IF(P17=2,28000,IF(P17=3,36000,""))),IF(P17=1,25000,IF(P17=2,35000,IF(P17=3,45000,""))))))))))</f>
        <v>0</v>
      </c>
      <c r="L17" s="204">
        <v>403</v>
      </c>
      <c r="M17" s="360" t="s">
        <v>153</v>
      </c>
      <c r="N17" s="360"/>
      <c r="O17" s="360"/>
      <c r="P17" s="106"/>
      <c r="Q17" s="207" t="s">
        <v>257</v>
      </c>
      <c r="R17" s="95" t="str">
        <f>IF(AND(Y17&lt;&gt;"",OR(X17=1,X17=2,X17=3)),38,"")</f>
        <v/>
      </c>
      <c r="S17" s="98" t="b">
        <f t="shared" ref="S17:S21" si="10">IF(AND(Y17="A",X17=1),50000,IF(Y17="B",IF(OR(X17=1,X17=2,X17=3),IF(OR($F$5=$AO$7,$F$5=$AO$9),0,IF(OR($F$5=$AO$3,$F$5=$AO$6),IF(X17=1,12500,IF(X17=2,17500,IF(X17=3,22500,""))),IF($F$5=$AO$4,500,IF(OR($F$5=$AO$1,$F$5=$AO$5,$F$5=$AO$8,$F$5=$AO$2),IF(X17=1,20000,IF(X17=2,28000,IF(X17=3,36000,""))),IF(X17=1,25000,IF(X17=2,35000,IF(X17=3,45000,""))))))))))</f>
        <v>0</v>
      </c>
      <c r="T17" s="204">
        <v>704</v>
      </c>
      <c r="U17" s="357" t="s">
        <v>160</v>
      </c>
      <c r="V17" s="357"/>
      <c r="W17" s="357"/>
      <c r="X17" s="106"/>
      <c r="Y17" s="207" t="s">
        <v>257</v>
      </c>
      <c r="Z17" s="149" t="str">
        <f>IF(AND(AG17&lt;&gt;"",OR(AF17=1,AF17=2,AF17=3)),43,"")</f>
        <v/>
      </c>
      <c r="AA17" s="98" t="b">
        <f t="shared" ref="AA17:AA21" si="11">IF(AND(AG17="A",AF17=1),50000,IF(AG17="B",IF(OR(AF17=1,AF17=2,AF17=3),IF(OR($F$5=$AO$7,$F$5=$AO$9),0,IF(OR($F$5=$AO$3,$F$5=$AO$6),IF(AF17=1,12500,IF(AF17=2,17500,IF(AF17=3,22500,""))),IF($F$5=$AO$4,500,IF(OR($F$5=$AO$1,$F$5=$AO$5,$F$5=$AO$8,$F$5=$AO$2),IF(AF17=1,20000,IF(AF17=2,28000,IF(AF17=3,36000,""))),IF(AF17=1,25000,IF(AF17=2,35000,IF(AF17=3,45000,""))))))))))</f>
        <v>0</v>
      </c>
      <c r="AB17" s="204">
        <v>804</v>
      </c>
      <c r="AC17" s="370" t="s">
        <v>165</v>
      </c>
      <c r="AD17" s="370"/>
      <c r="AE17" s="370"/>
      <c r="AF17" s="106"/>
      <c r="AG17" s="207" t="s">
        <v>257</v>
      </c>
      <c r="AH17" s="373"/>
      <c r="AI17" s="373"/>
      <c r="AJ17" s="373"/>
      <c r="AK17" s="138"/>
      <c r="AL17" s="64" t="str">
        <f t="shared" si="7"/>
        <v/>
      </c>
      <c r="AM17" s="1">
        <v>10</v>
      </c>
      <c r="AU17" s="64">
        <v>13</v>
      </c>
      <c r="AV17" s="121">
        <v>304</v>
      </c>
      <c r="AW17" s="122" t="s">
        <v>173</v>
      </c>
      <c r="AX17" s="120">
        <f t="shared" ref="AX17:AX22" si="12">H18</f>
        <v>0</v>
      </c>
      <c r="AY17" s="120" t="e">
        <f>IF(VLOOKUP($E$1,#REF!,MATCH(AV17,#REF!,0),0)="","",VLOOKUP($E$1,#REF!,MATCH(AV17,#REF!,0),0))</f>
        <v>#REF!</v>
      </c>
      <c r="AZ17" s="48"/>
      <c r="BC17" s="49"/>
      <c r="BD17" s="49"/>
      <c r="BE17" s="48"/>
    </row>
    <row r="18" spans="1:57" ht="19.2" customHeight="1" x14ac:dyDescent="0.25">
      <c r="A18" s="38" t="str">
        <f>IF(AND(I18&lt;&gt;"",OR(H18=1,H18=2,H18=3)),13,"")</f>
        <v/>
      </c>
      <c r="B18" s="98" t="b">
        <f t="shared" si="8"/>
        <v>0</v>
      </c>
      <c r="C18" s="205">
        <v>304</v>
      </c>
      <c r="D18" s="352" t="s">
        <v>173</v>
      </c>
      <c r="E18" s="352"/>
      <c r="F18" s="352"/>
      <c r="G18" s="352"/>
      <c r="H18" s="110"/>
      <c r="I18" s="207" t="s">
        <v>257</v>
      </c>
      <c r="J18" s="149" t="str">
        <f>IF(AND(Q18&lt;&gt;"",OR(P18=1,P18=2,P18=3)),20,"")</f>
        <v/>
      </c>
      <c r="K18" s="98" t="b">
        <f t="shared" si="9"/>
        <v>0</v>
      </c>
      <c r="L18" s="205">
        <v>404</v>
      </c>
      <c r="M18" s="362" t="s">
        <v>154</v>
      </c>
      <c r="N18" s="362"/>
      <c r="O18" s="362"/>
      <c r="P18" s="110"/>
      <c r="Q18" s="207" t="s">
        <v>257</v>
      </c>
      <c r="R18" s="95" t="str">
        <f>IF(AND(Y18&lt;&gt;"",OR(X18=1,X18=2,X18=3)),39,"")</f>
        <v/>
      </c>
      <c r="S18" s="98" t="b">
        <f t="shared" si="10"/>
        <v>0</v>
      </c>
      <c r="T18" s="205">
        <v>705</v>
      </c>
      <c r="U18" s="356" t="s">
        <v>161</v>
      </c>
      <c r="V18" s="356"/>
      <c r="W18" s="356"/>
      <c r="X18" s="110"/>
      <c r="Y18" s="207" t="s">
        <v>257</v>
      </c>
      <c r="Z18" s="149" t="str">
        <f>IF(AND(AG18&lt;&gt;"",OR(AF18=1,AF18=2,AF18=3)),44,"")</f>
        <v/>
      </c>
      <c r="AA18" s="98" t="b">
        <f t="shared" si="11"/>
        <v>0</v>
      </c>
      <c r="AB18" s="205">
        <v>805</v>
      </c>
      <c r="AC18" s="356" t="s">
        <v>166</v>
      </c>
      <c r="AD18" s="356"/>
      <c r="AE18" s="356"/>
      <c r="AF18" s="110"/>
      <c r="AG18" s="207" t="s">
        <v>257</v>
      </c>
      <c r="AH18" s="373"/>
      <c r="AI18" s="373"/>
      <c r="AJ18" s="373"/>
      <c r="AK18" s="138"/>
      <c r="AL18" s="64" t="str">
        <f t="shared" si="7"/>
        <v/>
      </c>
      <c r="AM18" s="1">
        <v>11</v>
      </c>
      <c r="AU18" s="64">
        <v>14</v>
      </c>
      <c r="AV18" s="121">
        <v>305</v>
      </c>
      <c r="AW18" s="122" t="s">
        <v>174</v>
      </c>
      <c r="AX18" s="120">
        <f t="shared" si="12"/>
        <v>0</v>
      </c>
      <c r="AY18" s="120" t="e">
        <f>IF(VLOOKUP($E$1,#REF!,MATCH(AV18,#REF!,0),0)="","",VLOOKUP($E$1,#REF!,MATCH(AV18,#REF!,0),0))</f>
        <v>#REF!</v>
      </c>
      <c r="AZ18" s="48"/>
      <c r="BC18" s="157"/>
      <c r="BD18" s="157"/>
      <c r="BE18" s="48"/>
    </row>
    <row r="19" spans="1:57" ht="19.2" customHeight="1" x14ac:dyDescent="0.25">
      <c r="A19" s="38" t="str">
        <f>IF(AND(I19&lt;&gt;"",OR(H19=1,H19=2,H19=3)),14,"")</f>
        <v/>
      </c>
      <c r="B19" s="98" t="b">
        <f t="shared" si="8"/>
        <v>0</v>
      </c>
      <c r="C19" s="205">
        <v>305</v>
      </c>
      <c r="D19" s="352" t="s">
        <v>174</v>
      </c>
      <c r="E19" s="352"/>
      <c r="F19" s="352"/>
      <c r="G19" s="352"/>
      <c r="H19" s="110"/>
      <c r="I19" s="207" t="s">
        <v>257</v>
      </c>
      <c r="J19" s="149" t="str">
        <f>IF(AND(Q19&lt;&gt;"",OR(P19=1,P19=2,P19=3)),21,"")</f>
        <v/>
      </c>
      <c r="K19" s="98" t="b">
        <f t="shared" si="9"/>
        <v>0</v>
      </c>
      <c r="L19" s="205">
        <v>405</v>
      </c>
      <c r="M19" s="352" t="s">
        <v>155</v>
      </c>
      <c r="N19" s="352"/>
      <c r="O19" s="352"/>
      <c r="P19" s="110"/>
      <c r="Q19" s="207" t="s">
        <v>257</v>
      </c>
      <c r="R19" s="95" t="str">
        <f>IF(AND(Y19&lt;&gt;"",OR(X19=1,X19=2,X19=3)),40,"")</f>
        <v/>
      </c>
      <c r="S19" s="98" t="b">
        <f t="shared" si="10"/>
        <v>0</v>
      </c>
      <c r="T19" s="205">
        <v>706</v>
      </c>
      <c r="U19" s="351" t="s">
        <v>162</v>
      </c>
      <c r="V19" s="351"/>
      <c r="W19" s="351"/>
      <c r="X19" s="110"/>
      <c r="Y19" s="207" t="s">
        <v>257</v>
      </c>
      <c r="Z19" s="149" t="str">
        <f>IF(AND(AG19&lt;&gt;"",OR(AF19=1,AF19=2,AF19=3)),45,"")</f>
        <v/>
      </c>
      <c r="AA19" s="98" t="b">
        <f t="shared" si="11"/>
        <v>0</v>
      </c>
      <c r="AB19" s="205">
        <v>806</v>
      </c>
      <c r="AC19" s="351" t="s">
        <v>167</v>
      </c>
      <c r="AD19" s="351"/>
      <c r="AE19" s="351"/>
      <c r="AF19" s="110"/>
      <c r="AG19" s="207" t="s">
        <v>257</v>
      </c>
      <c r="AH19" s="373"/>
      <c r="AI19" s="373"/>
      <c r="AJ19" s="373"/>
      <c r="AK19" s="138"/>
      <c r="AL19" s="64" t="str">
        <f>IF(A17&lt;&gt;"",A17,"")</f>
        <v/>
      </c>
      <c r="AM19" s="1">
        <v>12</v>
      </c>
      <c r="AU19" s="64">
        <v>15</v>
      </c>
      <c r="AV19" s="121">
        <v>306</v>
      </c>
      <c r="AW19" s="122" t="s">
        <v>175</v>
      </c>
      <c r="AX19" s="120">
        <f t="shared" si="12"/>
        <v>0</v>
      </c>
      <c r="AY19" s="120" t="e">
        <f>IF(VLOOKUP($E$1,#REF!,MATCH(AV19,#REF!,0),0)="","",VLOOKUP($E$1,#REF!,MATCH(AV19,#REF!,0),0))</f>
        <v>#REF!</v>
      </c>
      <c r="AZ19" s="48"/>
      <c r="BC19" s="157"/>
      <c r="BD19" s="157"/>
      <c r="BE19" s="49"/>
    </row>
    <row r="20" spans="1:57" ht="19.2" customHeight="1" x14ac:dyDescent="0.3">
      <c r="A20" s="38" t="str">
        <f>IF(AND(I20&lt;&gt;"",OR(H20=1,H20=2,H20=3)),15,"")</f>
        <v/>
      </c>
      <c r="B20" s="98" t="b">
        <f t="shared" si="8"/>
        <v>0</v>
      </c>
      <c r="C20" s="205">
        <v>306</v>
      </c>
      <c r="D20" s="352" t="s">
        <v>175</v>
      </c>
      <c r="E20" s="352"/>
      <c r="F20" s="352"/>
      <c r="G20" s="352"/>
      <c r="H20" s="110"/>
      <c r="I20" s="207" t="s">
        <v>257</v>
      </c>
      <c r="J20" s="149" t="str">
        <f>IF(AND(Q20&lt;&gt;"",OR(P20=1,P20=2,P20=3)),22,"")</f>
        <v/>
      </c>
      <c r="K20" s="98" t="b">
        <f t="shared" si="9"/>
        <v>0</v>
      </c>
      <c r="L20" s="205">
        <v>406</v>
      </c>
      <c r="M20" s="351" t="s">
        <v>156</v>
      </c>
      <c r="N20" s="351"/>
      <c r="O20" s="351"/>
      <c r="P20" s="110"/>
      <c r="Q20" s="207" t="s">
        <v>257</v>
      </c>
      <c r="R20" s="95" t="str">
        <f>IF(AND(Y20&lt;&gt;"",OR(X20=1,X20=2,X20=3)),41,"")</f>
        <v/>
      </c>
      <c r="S20" s="98" t="b">
        <f t="shared" si="10"/>
        <v>0</v>
      </c>
      <c r="T20" s="205">
        <v>707</v>
      </c>
      <c r="U20" s="348" t="s">
        <v>163</v>
      </c>
      <c r="V20" s="348"/>
      <c r="W20" s="348"/>
      <c r="X20" s="110"/>
      <c r="Y20" s="207" t="s">
        <v>257</v>
      </c>
      <c r="Z20" s="149" t="str">
        <f>IF(AND(AG20&lt;&gt;"",OR(AF20=1,AF20=2,AF20=3)),46,"")</f>
        <v/>
      </c>
      <c r="AA20" s="98" t="b">
        <f t="shared" si="11"/>
        <v>0</v>
      </c>
      <c r="AB20" s="205">
        <v>807</v>
      </c>
      <c r="AC20" s="356" t="s">
        <v>168</v>
      </c>
      <c r="AD20" s="356"/>
      <c r="AE20" s="356"/>
      <c r="AF20" s="110"/>
      <c r="AG20" s="207" t="s">
        <v>257</v>
      </c>
      <c r="AH20" s="139"/>
      <c r="AI20" s="139"/>
      <c r="AJ20" s="139"/>
      <c r="AK20" s="138"/>
      <c r="AL20" s="64" t="str">
        <f t="shared" ref="AL20:AL25" si="13">IF(A18&lt;&gt;"",A18,"")</f>
        <v/>
      </c>
      <c r="AM20" s="1">
        <v>13</v>
      </c>
      <c r="AU20" s="64">
        <v>16</v>
      </c>
      <c r="AV20" s="121">
        <v>307</v>
      </c>
      <c r="AW20" s="122" t="s">
        <v>176</v>
      </c>
      <c r="AX20" s="120">
        <f t="shared" si="12"/>
        <v>0</v>
      </c>
      <c r="AY20" s="120" t="e">
        <f>IF(VLOOKUP($E$1,#REF!,MATCH(AV20,#REF!,0),0)="","",VLOOKUP($E$1,#REF!,MATCH(AV20,#REF!,0),0))</f>
        <v>#REF!</v>
      </c>
      <c r="AZ20" s="49"/>
      <c r="BC20" s="50"/>
      <c r="BD20" s="50"/>
      <c r="BE20" s="49"/>
    </row>
    <row r="21" spans="1:57" ht="19.2" customHeight="1" thickBot="1" x14ac:dyDescent="0.35">
      <c r="A21" s="38" t="str">
        <f>IF(AND(I21&lt;&gt;"",OR(H21=1,H21=2,H21=3)),16,"")</f>
        <v/>
      </c>
      <c r="B21" s="98" t="b">
        <f t="shared" si="8"/>
        <v>0</v>
      </c>
      <c r="C21" s="205">
        <v>307</v>
      </c>
      <c r="D21" s="352" t="s">
        <v>176</v>
      </c>
      <c r="E21" s="352"/>
      <c r="F21" s="352"/>
      <c r="G21" s="352"/>
      <c r="H21" s="110"/>
      <c r="I21" s="207" t="s">
        <v>257</v>
      </c>
      <c r="J21" s="149" t="str">
        <f>IF(AND(Q21&lt;&gt;"",OR(P21=1,P21=2,P21=3)),23,"")</f>
        <v/>
      </c>
      <c r="K21" s="98" t="b">
        <f t="shared" si="9"/>
        <v>0</v>
      </c>
      <c r="L21" s="205">
        <v>407</v>
      </c>
      <c r="M21" s="351" t="s">
        <v>157</v>
      </c>
      <c r="N21" s="351"/>
      <c r="O21" s="351"/>
      <c r="P21" s="110"/>
      <c r="Q21" s="207" t="s">
        <v>257</v>
      </c>
      <c r="R21" s="95" t="str">
        <f>IF(AND(Y21&lt;&gt;"",OR(X21=1,X21=2,X21=3)),42,"")</f>
        <v/>
      </c>
      <c r="S21" s="98" t="b">
        <f t="shared" si="10"/>
        <v>0</v>
      </c>
      <c r="T21" s="206">
        <v>708</v>
      </c>
      <c r="U21" s="347" t="s">
        <v>164</v>
      </c>
      <c r="V21" s="347"/>
      <c r="W21" s="347"/>
      <c r="X21" s="110"/>
      <c r="Y21" s="207" t="s">
        <v>257</v>
      </c>
      <c r="Z21" s="149" t="str">
        <f>IF(AND(AG21&lt;&gt;"",OR(AF21=1,AF21=2,AF21=3)),47,"")</f>
        <v/>
      </c>
      <c r="AA21" s="98" t="b">
        <f t="shared" si="11"/>
        <v>0</v>
      </c>
      <c r="AB21" s="206">
        <v>808</v>
      </c>
      <c r="AC21" s="354" t="s">
        <v>169</v>
      </c>
      <c r="AD21" s="354"/>
      <c r="AE21" s="354"/>
      <c r="AF21" s="110"/>
      <c r="AG21" s="207" t="s">
        <v>257</v>
      </c>
      <c r="AH21" s="139"/>
      <c r="AI21" s="139"/>
      <c r="AJ21" s="139"/>
      <c r="AK21" s="138"/>
      <c r="AL21" s="64" t="str">
        <f t="shared" si="13"/>
        <v/>
      </c>
      <c r="AM21" s="1">
        <v>14</v>
      </c>
      <c r="AU21" s="64">
        <v>17</v>
      </c>
      <c r="AV21" s="121">
        <v>308</v>
      </c>
      <c r="AW21" s="122" t="s">
        <v>177</v>
      </c>
      <c r="AX21" s="120">
        <f t="shared" si="12"/>
        <v>0</v>
      </c>
      <c r="AY21" s="120" t="e">
        <f>IF(VLOOKUP($E$1,#REF!,MATCH(AV21,#REF!,0),0)="","",VLOOKUP($E$1,#REF!,MATCH(AV21,#REF!,0),0))</f>
        <v>#REF!</v>
      </c>
      <c r="AZ21" s="49"/>
      <c r="BC21" s="50"/>
      <c r="BD21" s="50"/>
      <c r="BE21" s="48"/>
    </row>
    <row r="22" spans="1:57" ht="19.2" customHeight="1" x14ac:dyDescent="0.3">
      <c r="A22" s="38" t="str">
        <f>IF(AND(I22&lt;&gt;"",OR(H22=1,H22=2,H22=3)),17,"")</f>
        <v/>
      </c>
      <c r="B22" s="98" t="b">
        <f t="shared" si="8"/>
        <v>0</v>
      </c>
      <c r="C22" s="205">
        <v>308</v>
      </c>
      <c r="D22" s="352" t="s">
        <v>177</v>
      </c>
      <c r="E22" s="352"/>
      <c r="F22" s="352"/>
      <c r="G22" s="352"/>
      <c r="H22" s="110"/>
      <c r="I22" s="207" t="s">
        <v>257</v>
      </c>
      <c r="J22" s="149" t="str">
        <f>IF(AND(Q22&lt;&gt;"",OR(P22=1,P22=2,P22=3)),24,"")</f>
        <v/>
      </c>
      <c r="K22" s="98" t="b">
        <f t="shared" si="9"/>
        <v>0</v>
      </c>
      <c r="L22" s="205">
        <v>408</v>
      </c>
      <c r="M22" s="353" t="s">
        <v>158</v>
      </c>
      <c r="N22" s="353"/>
      <c r="O22" s="353"/>
      <c r="P22" s="110"/>
      <c r="Q22" s="207" t="s">
        <v>257</v>
      </c>
      <c r="R22" s="95"/>
      <c r="S22" s="98"/>
      <c r="T22" s="345"/>
      <c r="U22" s="345"/>
      <c r="V22" s="345"/>
      <c r="W22" s="345"/>
      <c r="X22" s="345"/>
      <c r="Y22" s="345"/>
      <c r="Z22" s="345"/>
      <c r="AA22" s="345"/>
      <c r="AB22" s="345"/>
      <c r="AC22" s="345"/>
      <c r="AD22" s="345"/>
      <c r="AE22" s="345"/>
      <c r="AF22" s="345"/>
      <c r="AG22" s="346"/>
      <c r="AH22" s="139"/>
      <c r="AI22" s="139"/>
      <c r="AJ22" s="139"/>
      <c r="AK22" s="138"/>
      <c r="AL22" s="64" t="str">
        <f t="shared" si="13"/>
        <v/>
      </c>
      <c r="AM22" s="1">
        <v>15</v>
      </c>
      <c r="AU22" s="64">
        <v>18</v>
      </c>
      <c r="AV22" s="121">
        <v>309</v>
      </c>
      <c r="AW22" s="122" t="s">
        <v>178</v>
      </c>
      <c r="AX22" s="120">
        <f t="shared" si="12"/>
        <v>0</v>
      </c>
      <c r="AY22" s="120" t="e">
        <f>IF(VLOOKUP($E$1,#REF!,MATCH(AV22,#REF!,0),0)="","",VLOOKUP($E$1,#REF!,MATCH(AV22,#REF!,0),0))</f>
        <v>#REF!</v>
      </c>
      <c r="AZ22" s="48"/>
      <c r="BC22" s="157"/>
      <c r="BD22" s="157"/>
      <c r="BE22" s="48"/>
    </row>
    <row r="23" spans="1:57" ht="19.2" customHeight="1" thickBot="1" x14ac:dyDescent="0.35">
      <c r="A23" s="38" t="str">
        <f>IF(AND(I23&lt;&gt;"",OR(H23=1,H23=2,H23=3)),18,"")</f>
        <v/>
      </c>
      <c r="B23" s="98" t="b">
        <f t="shared" si="8"/>
        <v>0</v>
      </c>
      <c r="C23" s="206">
        <v>309</v>
      </c>
      <c r="D23" s="350" t="s">
        <v>178</v>
      </c>
      <c r="E23" s="350"/>
      <c r="F23" s="350"/>
      <c r="G23" s="350"/>
      <c r="H23" s="110"/>
      <c r="I23" s="207" t="s">
        <v>257</v>
      </c>
      <c r="J23" s="149" t="str">
        <f>IF(AND(Q23&lt;&gt;"",OR(P23=1,P23=2,P23=3)),25,"")</f>
        <v/>
      </c>
      <c r="K23" s="98" t="b">
        <f t="shared" si="9"/>
        <v>0</v>
      </c>
      <c r="L23" s="206">
        <v>409</v>
      </c>
      <c r="M23" s="349" t="s">
        <v>159</v>
      </c>
      <c r="N23" s="349"/>
      <c r="O23" s="349"/>
      <c r="P23" s="110"/>
      <c r="Q23" s="207" t="s">
        <v>257</v>
      </c>
      <c r="R23" s="103"/>
      <c r="S23" s="100"/>
      <c r="T23" s="345"/>
      <c r="U23" s="345"/>
      <c r="V23" s="345"/>
      <c r="W23" s="345"/>
      <c r="X23" s="345"/>
      <c r="Y23" s="345"/>
      <c r="Z23" s="345"/>
      <c r="AA23" s="345"/>
      <c r="AB23" s="345"/>
      <c r="AC23" s="345"/>
      <c r="AD23" s="345"/>
      <c r="AE23" s="345"/>
      <c r="AF23" s="345"/>
      <c r="AG23" s="346"/>
      <c r="AH23" s="139"/>
      <c r="AI23" s="139"/>
      <c r="AJ23" s="139"/>
      <c r="AK23" s="138"/>
      <c r="AL23" s="64" t="str">
        <f t="shared" si="13"/>
        <v/>
      </c>
      <c r="AM23" s="1">
        <v>16</v>
      </c>
      <c r="AU23" s="64">
        <v>19</v>
      </c>
      <c r="AV23" s="109">
        <v>403</v>
      </c>
      <c r="AW23" s="113" t="s">
        <v>153</v>
      </c>
      <c r="AX23" s="81">
        <f>P17</f>
        <v>0</v>
      </c>
      <c r="AY23" s="120" t="e">
        <f>IF(VLOOKUP($E$1,#REF!,MATCH(AV23,#REF!,0),0)="","",VLOOKUP($E$1,#REF!,MATCH(AV23,#REF!,0),0))</f>
        <v>#REF!</v>
      </c>
      <c r="AZ23" s="48"/>
      <c r="BC23" s="157"/>
      <c r="BD23" s="157"/>
      <c r="BE23" s="48"/>
    </row>
    <row r="24" spans="1:57" ht="17.399999999999999" hidden="1" thickBot="1" x14ac:dyDescent="0.35">
      <c r="A24" s="38"/>
      <c r="B24" s="98">
        <f>SUM(B17:B23)</f>
        <v>0</v>
      </c>
      <c r="C24" s="43"/>
      <c r="D24" s="44"/>
      <c r="E24" s="44"/>
      <c r="F24" s="44"/>
      <c r="G24" s="111"/>
      <c r="H24" s="99"/>
      <c r="I24" s="207" t="s">
        <v>257</v>
      </c>
      <c r="J24" s="149"/>
      <c r="K24" s="98">
        <f>SUM(K17:K23)</f>
        <v>0</v>
      </c>
      <c r="L24" s="43"/>
      <c r="M24" s="44"/>
      <c r="N24" s="44"/>
      <c r="O24" s="111">
        <f>COUNTIFS(Q17:Q23,1,P17:P23,1)</f>
        <v>0</v>
      </c>
      <c r="P24" s="99">
        <f>COUNTIFS(Q17:Q23,1,P17:P23,2)</f>
        <v>0</v>
      </c>
      <c r="Q24" s="39">
        <f>COUNTIFS(Q17:Q23,1,P17:P23,3)</f>
        <v>0</v>
      </c>
      <c r="R24" s="104"/>
      <c r="S24" s="29">
        <f>SUM(S17:S21)</f>
        <v>0</v>
      </c>
      <c r="T24" s="107"/>
      <c r="U24" s="41"/>
      <c r="V24" s="41"/>
      <c r="W24" s="102">
        <f>COUNTIFS(Y17:Y21,1,X17:X21,1)</f>
        <v>0</v>
      </c>
      <c r="X24" s="99">
        <f>COUNTIFS(Y17:Y21,1,X17:X21,2)</f>
        <v>0</v>
      </c>
      <c r="Y24" s="39">
        <f>COUNTIFS(Y17:Y21,1,X17:X21,3)</f>
        <v>0</v>
      </c>
      <c r="Z24" s="85"/>
      <c r="AA24" s="29">
        <f>SUM(AA17:AA21)</f>
        <v>0</v>
      </c>
      <c r="AB24" s="41"/>
      <c r="AC24" s="41"/>
      <c r="AD24" s="41"/>
      <c r="AE24" s="102">
        <f>COUNTIFS(AG17:AG21,1,AF17:AF21,1)</f>
        <v>0</v>
      </c>
      <c r="AF24" s="99">
        <f>COUNTIFS(AG17:AG21,1,AF17:AF21,2)</f>
        <v>0</v>
      </c>
      <c r="AG24" s="39">
        <f>COUNTIFS(AG17:AG21,1,AF17:AF21,3)</f>
        <v>0</v>
      </c>
      <c r="AH24" s="139"/>
      <c r="AI24" s="139"/>
      <c r="AJ24" s="139"/>
      <c r="AK24" s="138"/>
      <c r="AL24" s="64" t="str">
        <f t="shared" si="13"/>
        <v/>
      </c>
      <c r="AM24" s="1">
        <v>17</v>
      </c>
      <c r="AU24" s="64">
        <v>20</v>
      </c>
      <c r="AV24" s="109">
        <v>404</v>
      </c>
      <c r="AW24" s="113" t="s">
        <v>154</v>
      </c>
      <c r="AX24" s="81">
        <f t="shared" ref="AX24:AX29" si="14">P18</f>
        <v>0</v>
      </c>
      <c r="AY24" s="120" t="e">
        <f>IF(VLOOKUP($E$1,#REF!,MATCH(AV24,#REF!,0),0)="","",VLOOKUP($E$1,#REF!,MATCH(AV24,#REF!,0),0))</f>
        <v>#REF!</v>
      </c>
      <c r="AZ24" s="48"/>
      <c r="BC24" s="157"/>
      <c r="BD24" s="157"/>
    </row>
    <row r="25" spans="1:57" ht="16.8" hidden="1" x14ac:dyDescent="0.3">
      <c r="B25" s="21"/>
      <c r="D25" s="37"/>
      <c r="E25" s="37"/>
      <c r="F25" s="37"/>
      <c r="G25" s="37"/>
      <c r="H25" s="21"/>
      <c r="I25" s="80"/>
      <c r="J25" s="149"/>
      <c r="K25" s="98"/>
      <c r="P25" s="99"/>
      <c r="Q25" s="39"/>
      <c r="R25" s="104"/>
      <c r="S25" s="98"/>
      <c r="T25" s="33">
        <f>B15+B24+K15+K24+S15+S24+AA15+AA24</f>
        <v>0</v>
      </c>
      <c r="U25" s="34"/>
      <c r="V25" s="34"/>
      <c r="W25" s="34"/>
      <c r="X25" s="105"/>
      <c r="Y25" s="40"/>
      <c r="Z25" s="35"/>
      <c r="AA25" s="29"/>
      <c r="AB25" s="34"/>
      <c r="AC25" s="34"/>
      <c r="AD25" s="34"/>
      <c r="AE25" s="34"/>
      <c r="AF25" s="105"/>
      <c r="AG25" s="40"/>
      <c r="AH25" s="139"/>
      <c r="AI25" s="139"/>
      <c r="AJ25" s="139"/>
      <c r="AK25" s="138"/>
      <c r="AL25" s="64" t="str">
        <f t="shared" si="13"/>
        <v/>
      </c>
      <c r="AM25" s="1">
        <v>18</v>
      </c>
      <c r="AU25" s="64">
        <v>21</v>
      </c>
      <c r="AV25" s="109">
        <v>405</v>
      </c>
      <c r="AW25" s="113" t="s">
        <v>155</v>
      </c>
      <c r="AX25" s="81">
        <f t="shared" si="14"/>
        <v>0</v>
      </c>
      <c r="AY25" s="120" t="e">
        <f>IF(VLOOKUP($E$1,#REF!,MATCH(AV25,#REF!,0),0)="","",VLOOKUP($E$1,#REF!,MATCH(AV25,#REF!,0),0))</f>
        <v>#REF!</v>
      </c>
      <c r="AZ25" s="48"/>
      <c r="BC25" s="48"/>
      <c r="BD25" s="48"/>
    </row>
    <row r="26" spans="1:57" ht="17.399999999999999" hidden="1" thickBot="1" x14ac:dyDescent="0.3">
      <c r="I26" s="151"/>
      <c r="J26" s="103"/>
      <c r="S26" s="98"/>
      <c r="AH26" s="138"/>
      <c r="AI26" s="138"/>
      <c r="AJ26" s="138"/>
      <c r="AK26" s="138"/>
      <c r="AL26" s="64" t="str">
        <f>IF(J17&lt;&gt;"",J17,"")</f>
        <v/>
      </c>
      <c r="AM26" s="1">
        <v>19</v>
      </c>
      <c r="AU26" s="64">
        <v>22</v>
      </c>
      <c r="AV26" s="109">
        <v>406</v>
      </c>
      <c r="AW26" s="113" t="s">
        <v>156</v>
      </c>
      <c r="AX26" s="81">
        <f t="shared" si="14"/>
        <v>0</v>
      </c>
      <c r="AY26" s="120" t="e">
        <f>IF(VLOOKUP($E$1,#REF!,MATCH(AV26,#REF!,0),0)="","",VLOOKUP($E$1,#REF!,MATCH(AV26,#REF!,0),0))</f>
        <v>#REF!</v>
      </c>
      <c r="AZ26" s="48"/>
      <c r="BA26" s="1"/>
      <c r="BB26" s="1"/>
      <c r="BC26" s="48"/>
      <c r="BD26" s="48"/>
    </row>
    <row r="27" spans="1:57" ht="18" thickTop="1" thickBot="1" x14ac:dyDescent="0.3">
      <c r="C27" s="327" t="s">
        <v>261</v>
      </c>
      <c r="D27" s="327"/>
      <c r="E27" s="327"/>
      <c r="F27" s="327"/>
      <c r="G27" s="327"/>
      <c r="H27" s="327"/>
      <c r="L27" s="331" t="s">
        <v>27</v>
      </c>
      <c r="M27" s="331"/>
      <c r="N27" s="330">
        <f>IF(E2="الرابعة حديث",50000,0)</f>
        <v>0</v>
      </c>
      <c r="O27" s="330"/>
      <c r="P27" s="330"/>
      <c r="Q27" s="330"/>
      <c r="R27" s="330"/>
      <c r="T27" s="331" t="s">
        <v>179</v>
      </c>
      <c r="U27" s="331"/>
      <c r="V27" s="331"/>
      <c r="W27" s="332">
        <v>0</v>
      </c>
      <c r="X27" s="332"/>
      <c r="Y27" s="332"/>
      <c r="Z27" s="331" t="s">
        <v>75</v>
      </c>
      <c r="AA27" s="331"/>
      <c r="AB27" s="331"/>
      <c r="AC27" s="331"/>
      <c r="AD27" s="332">
        <v>12000</v>
      </c>
      <c r="AE27" s="332"/>
      <c r="AF27" s="332"/>
      <c r="AG27" s="332"/>
      <c r="AH27" s="138"/>
      <c r="AI27" s="138"/>
      <c r="AJ27" s="138"/>
      <c r="AK27" s="138"/>
      <c r="AL27" s="64" t="str">
        <f t="shared" ref="AL27:AL32" si="15">IF(J18&lt;&gt;"",J18,"")</f>
        <v/>
      </c>
      <c r="AM27" s="1">
        <v>20</v>
      </c>
      <c r="AU27" s="64">
        <v>23</v>
      </c>
      <c r="AV27" s="109">
        <v>407</v>
      </c>
      <c r="AW27" s="113" t="s">
        <v>157</v>
      </c>
      <c r="AX27" s="81">
        <f t="shared" si="14"/>
        <v>0</v>
      </c>
      <c r="AY27" s="120" t="e">
        <f>IF(VLOOKUP($E$1,#REF!,MATCH(AV27,#REF!,0),0)="","",VLOOKUP($E$1,#REF!,MATCH(AV27,#REF!,0),0))</f>
        <v>#REF!</v>
      </c>
      <c r="AZ27" s="48"/>
      <c r="BA27" s="1"/>
      <c r="BB27" s="1"/>
      <c r="BC27" s="49"/>
      <c r="BD27" s="49"/>
    </row>
    <row r="28" spans="1:57" ht="21.75" customHeight="1" thickTop="1" thickBot="1" x14ac:dyDescent="0.3">
      <c r="B28" s="1" t="str">
        <f t="shared" ref="B28:B37" si="16">IFERROR(SMALL($C$40:$C$49,AM8),"")</f>
        <v/>
      </c>
      <c r="C28" s="327" t="str">
        <f t="shared" ref="C28:C38" si="17">IF(B28&lt;&gt;"",VLOOKUP(B28,$C$40:$D$51,2,0),"")</f>
        <v/>
      </c>
      <c r="D28" s="327"/>
      <c r="E28" s="327"/>
      <c r="F28" s="327"/>
      <c r="G28" s="327"/>
      <c r="H28" s="327"/>
      <c r="L28" s="333" t="s">
        <v>180</v>
      </c>
      <c r="M28" s="333"/>
      <c r="N28" s="330">
        <f>IF(Z28="ضعف الرسوم",T25*2,T25)</f>
        <v>0</v>
      </c>
      <c r="O28" s="330"/>
      <c r="P28" s="330"/>
      <c r="Q28" s="330"/>
      <c r="R28" s="330"/>
      <c r="T28" s="331" t="s">
        <v>25</v>
      </c>
      <c r="U28" s="331"/>
      <c r="V28" s="331"/>
      <c r="W28" s="338">
        <f>N27+W27+AD27+N28-AB5</f>
        <v>12000</v>
      </c>
      <c r="X28" s="338"/>
      <c r="Y28" s="338"/>
      <c r="Z28" s="328">
        <f>'إدخال البيانات'!F1</f>
        <v>0</v>
      </c>
      <c r="AA28" s="328"/>
      <c r="AB28" s="328"/>
      <c r="AC28" s="328"/>
      <c r="AD28" s="328"/>
      <c r="AE28" s="328"/>
      <c r="AF28" s="328"/>
      <c r="AG28" s="145"/>
      <c r="AH28" s="138"/>
      <c r="AI28" s="138"/>
      <c r="AJ28" s="138"/>
      <c r="AK28" s="138"/>
      <c r="AL28" s="64" t="str">
        <f t="shared" si="15"/>
        <v/>
      </c>
      <c r="AM28" s="1">
        <v>21</v>
      </c>
      <c r="AU28" s="64">
        <v>24</v>
      </c>
      <c r="AV28" s="114">
        <v>408</v>
      </c>
      <c r="AW28" s="115" t="s">
        <v>158</v>
      </c>
      <c r="AX28" s="81">
        <f t="shared" si="14"/>
        <v>0</v>
      </c>
      <c r="AY28" s="120" t="e">
        <f>IF(VLOOKUP($E$1,#REF!,MATCH(AV28,#REF!,0),0)="","",VLOOKUP($E$1,#REF!,MATCH(AV28,#REF!,0),0))</f>
        <v>#REF!</v>
      </c>
      <c r="AZ28" s="48"/>
      <c r="BA28" s="1"/>
      <c r="BB28" s="1"/>
      <c r="BC28" s="49"/>
      <c r="BD28" s="49"/>
    </row>
    <row r="29" spans="1:57" ht="21.75" customHeight="1" thickTop="1" thickBot="1" x14ac:dyDescent="0.3">
      <c r="B29" s="1" t="str">
        <f t="shared" si="16"/>
        <v/>
      </c>
      <c r="C29" s="327" t="str">
        <f t="shared" si="17"/>
        <v/>
      </c>
      <c r="D29" s="327"/>
      <c r="E29" s="327"/>
      <c r="F29" s="327"/>
      <c r="G29" s="327"/>
      <c r="H29" s="327"/>
      <c r="L29" s="331" t="s">
        <v>22</v>
      </c>
      <c r="M29" s="331"/>
      <c r="N29" s="334" t="s">
        <v>87</v>
      </c>
      <c r="O29" s="334"/>
      <c r="P29" s="334"/>
      <c r="Q29" s="334"/>
      <c r="R29" s="334"/>
      <c r="T29" s="331" t="s">
        <v>26</v>
      </c>
      <c r="U29" s="331"/>
      <c r="V29" s="331"/>
      <c r="W29" s="335">
        <f>IF(N29="نعم",(الإستمارة!T1+الإستمارة!T2)+AD27+(W28-(الإستمارة!T1+الإستمارة!T2)-AD27)/2,W28)</f>
        <v>12000</v>
      </c>
      <c r="X29" s="335"/>
      <c r="Y29" s="335"/>
      <c r="Z29" s="331" t="s">
        <v>28</v>
      </c>
      <c r="AA29" s="331"/>
      <c r="AB29" s="331"/>
      <c r="AC29" s="331"/>
      <c r="AD29" s="332">
        <f>W28-W29</f>
        <v>0</v>
      </c>
      <c r="AE29" s="332"/>
      <c r="AF29" s="332"/>
      <c r="AG29" s="332"/>
      <c r="AH29" s="138"/>
      <c r="AI29" s="138"/>
      <c r="AJ29" s="138"/>
      <c r="AK29" s="138"/>
      <c r="AL29" s="64" t="str">
        <f t="shared" si="15"/>
        <v/>
      </c>
      <c r="AM29" s="1">
        <v>22</v>
      </c>
      <c r="AU29" s="64">
        <v>25</v>
      </c>
      <c r="AV29" s="108">
        <v>409</v>
      </c>
      <c r="AW29" s="112" t="s">
        <v>159</v>
      </c>
      <c r="AX29" s="81">
        <f t="shared" si="14"/>
        <v>0</v>
      </c>
      <c r="AY29" s="120" t="e">
        <f>IF(VLOOKUP($E$1,#REF!,MATCH(AV29,#REF!,0),0)="","",VLOOKUP($E$1,#REF!,MATCH(AV29,#REF!,0),0))</f>
        <v>#REF!</v>
      </c>
      <c r="AZ29" s="48"/>
      <c r="BA29" s="1"/>
      <c r="BB29" s="1"/>
      <c r="BC29" s="49"/>
      <c r="BD29" s="49"/>
    </row>
    <row r="30" spans="1:57" ht="21.75" customHeight="1" thickTop="1" x14ac:dyDescent="0.25">
      <c r="B30" s="1" t="str">
        <f t="shared" si="16"/>
        <v/>
      </c>
      <c r="C30" s="327" t="str">
        <f t="shared" si="17"/>
        <v/>
      </c>
      <c r="D30" s="327"/>
      <c r="E30" s="327"/>
      <c r="F30" s="327"/>
      <c r="G30" s="327"/>
      <c r="H30" s="327"/>
      <c r="P30" s="336" t="s">
        <v>76</v>
      </c>
      <c r="Q30" s="336"/>
      <c r="R30" s="336"/>
      <c r="S30" s="336"/>
      <c r="T30" s="336"/>
      <c r="U30" s="336"/>
      <c r="V30" s="144">
        <f>G15+O15+W15+AE15+G24+O24+W24+AE24</f>
        <v>0</v>
      </c>
      <c r="W30" s="336" t="s">
        <v>77</v>
      </c>
      <c r="X30" s="336"/>
      <c r="Y30" s="336"/>
      <c r="Z30" s="336"/>
      <c r="AA30" s="336"/>
      <c r="AB30" s="144">
        <f>H15+P15+X15+AF15+H24+P24+X24+AF24</f>
        <v>0</v>
      </c>
      <c r="AC30" s="337" t="s">
        <v>78</v>
      </c>
      <c r="AD30" s="337"/>
      <c r="AE30" s="337"/>
      <c r="AF30" s="144" t="e">
        <f>I15+Q15+Y15+AG15+I24+Q24+Y24+AG24</f>
        <v>#VALUE!</v>
      </c>
      <c r="AH30" s="138"/>
      <c r="AI30" s="138"/>
      <c r="AJ30" s="138"/>
      <c r="AK30" s="138"/>
      <c r="AL30" s="64" t="str">
        <f t="shared" si="15"/>
        <v/>
      </c>
      <c r="AM30" s="1">
        <v>23</v>
      </c>
      <c r="AU30" s="64">
        <v>26</v>
      </c>
      <c r="AV30" s="121">
        <v>504</v>
      </c>
      <c r="AW30" s="122" t="s">
        <v>141</v>
      </c>
      <c r="AX30" s="120">
        <f>X8</f>
        <v>0</v>
      </c>
      <c r="AY30" s="120" t="e">
        <f>IF(VLOOKUP($E$1,#REF!,MATCH(AV30,#REF!,0),0)="","",VLOOKUP($E$1,#REF!,MATCH(AV30,#REF!,0),0))</f>
        <v>#REF!</v>
      </c>
      <c r="AZ30" s="48"/>
      <c r="BA30" s="1"/>
      <c r="BB30" s="1"/>
      <c r="BC30" s="49"/>
      <c r="BD30" s="49"/>
    </row>
    <row r="31" spans="1:57" s="2" customFormat="1" ht="16.8" x14ac:dyDescent="0.25">
      <c r="B31" s="1" t="str">
        <f t="shared" si="16"/>
        <v/>
      </c>
      <c r="C31" s="327" t="str">
        <f t="shared" si="17"/>
        <v/>
      </c>
      <c r="D31" s="327"/>
      <c r="E31" s="327"/>
      <c r="F31" s="327"/>
      <c r="G31" s="327"/>
      <c r="H31" s="327"/>
      <c r="I31" s="146"/>
      <c r="J31" s="329" t="s">
        <v>181</v>
      </c>
      <c r="K31" s="329"/>
      <c r="L31" s="329"/>
      <c r="M31" s="329"/>
      <c r="N31" s="329"/>
      <c r="O31" s="329"/>
      <c r="P31" s="329"/>
      <c r="Q31" s="329"/>
      <c r="R31" s="329"/>
      <c r="S31" s="329"/>
      <c r="T31" s="329"/>
      <c r="U31" s="329"/>
      <c r="V31" s="329"/>
      <c r="W31" s="329"/>
      <c r="X31" s="329"/>
      <c r="Y31" s="329"/>
      <c r="Z31" s="329"/>
      <c r="AA31" s="329"/>
      <c r="AB31" s="329"/>
      <c r="AC31" s="329"/>
      <c r="AD31" s="329"/>
      <c r="AE31" s="329"/>
      <c r="AF31" s="329"/>
      <c r="AG31" s="146"/>
      <c r="AL31" s="64" t="str">
        <f t="shared" si="15"/>
        <v/>
      </c>
      <c r="AM31" s="1">
        <v>24</v>
      </c>
      <c r="AU31" s="64">
        <v>27</v>
      </c>
      <c r="AV31" s="121">
        <v>505</v>
      </c>
      <c r="AW31" s="122" t="s">
        <v>142</v>
      </c>
      <c r="AX31" s="120">
        <f t="shared" ref="AX31:AX33" si="18">X9</f>
        <v>0</v>
      </c>
      <c r="AY31" s="120" t="e">
        <f>IF(VLOOKUP($E$1,#REF!,MATCH(AV31,#REF!,0),0)="","",VLOOKUP($E$1,#REF!,MATCH(AV31,#REF!,0),0))</f>
        <v>#REF!</v>
      </c>
      <c r="AZ31" s="48"/>
      <c r="BC31" s="42"/>
      <c r="BD31" s="42"/>
    </row>
    <row r="32" spans="1:57" s="2" customFormat="1" ht="19.5" customHeight="1" x14ac:dyDescent="0.25">
      <c r="B32" s="1" t="str">
        <f t="shared" si="16"/>
        <v/>
      </c>
      <c r="C32" s="327" t="str">
        <f t="shared" si="17"/>
        <v/>
      </c>
      <c r="D32" s="327"/>
      <c r="E32" s="327"/>
      <c r="F32" s="327"/>
      <c r="G32" s="327"/>
      <c r="H32" s="327"/>
      <c r="I32" s="146"/>
      <c r="J32" s="329"/>
      <c r="K32" s="329"/>
      <c r="L32" s="329"/>
      <c r="M32" s="329"/>
      <c r="N32" s="329"/>
      <c r="O32" s="329"/>
      <c r="P32" s="329"/>
      <c r="Q32" s="329"/>
      <c r="R32" s="329"/>
      <c r="S32" s="329"/>
      <c r="T32" s="329"/>
      <c r="U32" s="329"/>
      <c r="V32" s="329"/>
      <c r="W32" s="329"/>
      <c r="X32" s="329"/>
      <c r="Y32" s="329"/>
      <c r="Z32" s="329"/>
      <c r="AA32" s="329"/>
      <c r="AB32" s="329"/>
      <c r="AC32" s="329"/>
      <c r="AD32" s="329"/>
      <c r="AE32" s="329"/>
      <c r="AF32" s="329"/>
      <c r="AG32" s="146"/>
      <c r="AL32" s="64" t="str">
        <f t="shared" si="15"/>
        <v/>
      </c>
      <c r="AM32" s="1">
        <v>25</v>
      </c>
      <c r="AU32" s="64">
        <v>28</v>
      </c>
      <c r="AV32" s="121">
        <v>506</v>
      </c>
      <c r="AW32" s="122" t="s">
        <v>143</v>
      </c>
      <c r="AX32" s="120">
        <f t="shared" si="18"/>
        <v>0</v>
      </c>
      <c r="AY32" s="120" t="e">
        <f>IF(VLOOKUP($E$1,#REF!,MATCH(AV32,#REF!,0),0)="","",VLOOKUP($E$1,#REF!,MATCH(AV32,#REF!,0),0))</f>
        <v>#REF!</v>
      </c>
      <c r="AZ32" s="48"/>
      <c r="BC32" s="42"/>
      <c r="BD32" s="42"/>
    </row>
    <row r="33" spans="2:56" s="2" customFormat="1" ht="16.8" x14ac:dyDescent="0.25">
      <c r="B33" s="1" t="str">
        <f t="shared" si="16"/>
        <v/>
      </c>
      <c r="C33" s="327" t="str">
        <f t="shared" si="17"/>
        <v/>
      </c>
      <c r="D33" s="327"/>
      <c r="E33" s="327"/>
      <c r="F33" s="327"/>
      <c r="G33" s="327"/>
      <c r="H33" s="327"/>
      <c r="J33" s="22"/>
      <c r="L33" s="3"/>
      <c r="M33" s="4"/>
      <c r="N33" s="4"/>
      <c r="O33" s="4"/>
      <c r="AL33" s="64" t="str">
        <f>IF(R8&lt;&gt;"",R8,"")</f>
        <v/>
      </c>
      <c r="AM33" s="1">
        <v>26</v>
      </c>
      <c r="AU33" s="64">
        <v>29</v>
      </c>
      <c r="AV33" s="121">
        <v>507</v>
      </c>
      <c r="AW33" s="122" t="s">
        <v>144</v>
      </c>
      <c r="AX33" s="120">
        <f t="shared" si="18"/>
        <v>0</v>
      </c>
      <c r="AY33" s="120" t="e">
        <f>IF(VLOOKUP($E$1,#REF!,MATCH(AV33,#REF!,0),0)="","",VLOOKUP($E$1,#REF!,MATCH(AV33,#REF!,0),0))</f>
        <v>#REF!</v>
      </c>
      <c r="AZ33" s="48"/>
      <c r="BC33" s="49"/>
      <c r="BD33" s="49"/>
    </row>
    <row r="34" spans="2:56" s="2" customFormat="1" ht="16.8" x14ac:dyDescent="0.25">
      <c r="B34" s="1" t="str">
        <f t="shared" si="16"/>
        <v/>
      </c>
      <c r="C34" s="327" t="str">
        <f t="shared" si="17"/>
        <v/>
      </c>
      <c r="D34" s="327"/>
      <c r="E34" s="327"/>
      <c r="F34" s="327"/>
      <c r="G34" s="327"/>
      <c r="H34" s="327"/>
      <c r="J34" s="22"/>
      <c r="L34" s="3"/>
      <c r="M34" s="4"/>
      <c r="N34" s="4"/>
      <c r="O34" s="4"/>
      <c r="AL34" s="64"/>
      <c r="AM34" s="1"/>
      <c r="AU34" s="64"/>
      <c r="AV34" s="121"/>
      <c r="AW34" s="122"/>
      <c r="AX34" s="120"/>
      <c r="AY34" s="120"/>
      <c r="AZ34" s="48"/>
      <c r="BC34" s="49"/>
      <c r="BD34" s="49"/>
    </row>
    <row r="35" spans="2:56" s="2" customFormat="1" ht="16.8" x14ac:dyDescent="0.25">
      <c r="B35" s="1" t="str">
        <f t="shared" si="16"/>
        <v/>
      </c>
      <c r="C35" s="327" t="str">
        <f t="shared" si="17"/>
        <v/>
      </c>
      <c r="D35" s="327"/>
      <c r="E35" s="327"/>
      <c r="F35" s="327"/>
      <c r="G35" s="327"/>
      <c r="H35" s="327"/>
      <c r="J35" s="22"/>
      <c r="L35" s="3"/>
      <c r="M35" s="4"/>
      <c r="N35" s="4"/>
      <c r="O35" s="4"/>
      <c r="AL35" s="64" t="str">
        <f t="shared" ref="AL35:AL39" si="19">IF(R9&lt;&gt;"",R9,"")</f>
        <v/>
      </c>
      <c r="AM35" s="1">
        <v>27</v>
      </c>
      <c r="AU35" s="64">
        <v>30</v>
      </c>
      <c r="AV35" s="121">
        <v>508</v>
      </c>
      <c r="AW35" s="122" t="s">
        <v>145</v>
      </c>
      <c r="AX35" s="120">
        <f>X12</f>
        <v>0</v>
      </c>
      <c r="AY35" s="120" t="e">
        <f>IF(VLOOKUP($E$1,#REF!,MATCH(AV35,#REF!,0),0)="","",VLOOKUP($E$1,#REF!,MATCH(AV35,#REF!,0),0))</f>
        <v>#REF!</v>
      </c>
      <c r="AZ35" s="48"/>
      <c r="BC35" s="42"/>
      <c r="BD35" s="42"/>
    </row>
    <row r="36" spans="2:56" s="2" customFormat="1" ht="16.8" x14ac:dyDescent="0.3">
      <c r="B36" s="1" t="str">
        <f t="shared" si="16"/>
        <v/>
      </c>
      <c r="C36" s="327" t="str">
        <f t="shared" si="17"/>
        <v/>
      </c>
      <c r="D36" s="327"/>
      <c r="E36" s="327"/>
      <c r="F36" s="327"/>
      <c r="G36" s="327"/>
      <c r="H36" s="327"/>
      <c r="I36" s="21"/>
      <c r="J36" s="21"/>
      <c r="K36" s="21"/>
      <c r="L36" s="21"/>
      <c r="M36" s="21"/>
      <c r="N36" s="21"/>
      <c r="O36" s="21"/>
      <c r="P36" s="21"/>
      <c r="Q36" s="21"/>
      <c r="AL36" s="64" t="str">
        <f t="shared" si="19"/>
        <v/>
      </c>
      <c r="AM36" s="1">
        <v>28</v>
      </c>
      <c r="AU36" s="64">
        <v>31</v>
      </c>
      <c r="AV36" s="121">
        <v>509</v>
      </c>
      <c r="AW36" s="122" t="s">
        <v>146</v>
      </c>
      <c r="AX36" s="120">
        <f>X13</f>
        <v>0</v>
      </c>
      <c r="AY36" s="120" t="e">
        <f>IF(VLOOKUP($E$1,#REF!,MATCH(AV36,#REF!,0),0)="","",VLOOKUP($E$1,#REF!,MATCH(AV36,#REF!,0),0))</f>
        <v>#REF!</v>
      </c>
      <c r="AZ36" s="48"/>
      <c r="BC36" s="42"/>
      <c r="BD36" s="42"/>
    </row>
    <row r="37" spans="2:56" s="2" customFormat="1" ht="16.8" x14ac:dyDescent="0.25">
      <c r="B37" s="1" t="str">
        <f t="shared" si="16"/>
        <v/>
      </c>
      <c r="C37" s="327" t="str">
        <f t="shared" si="17"/>
        <v/>
      </c>
      <c r="D37" s="327"/>
      <c r="E37" s="327"/>
      <c r="F37" s="327"/>
      <c r="G37" s="327"/>
      <c r="H37" s="327"/>
      <c r="J37" s="22"/>
      <c r="L37" s="3"/>
      <c r="M37" s="4"/>
      <c r="N37" s="4"/>
      <c r="O37" s="4"/>
      <c r="AL37" s="64" t="str">
        <f t="shared" si="19"/>
        <v/>
      </c>
      <c r="AM37" s="1">
        <v>29</v>
      </c>
      <c r="AU37" s="64">
        <v>32</v>
      </c>
      <c r="AV37" s="109">
        <v>604</v>
      </c>
      <c r="AW37" s="113" t="s">
        <v>147</v>
      </c>
      <c r="AX37" s="81">
        <f>AF8</f>
        <v>0</v>
      </c>
      <c r="AY37" s="120" t="e">
        <f>IF(VLOOKUP($E$1,#REF!,MATCH(AV37,#REF!,0),0)="","",VLOOKUP($E$1,#REF!,MATCH(AV37,#REF!,0),0))</f>
        <v>#REF!</v>
      </c>
      <c r="AZ37" s="48"/>
      <c r="BC37" s="42"/>
      <c r="BD37" s="42"/>
    </row>
    <row r="38" spans="2:56" s="2" customFormat="1" ht="16.8" x14ac:dyDescent="0.25">
      <c r="C38" s="327" t="str">
        <f t="shared" si="17"/>
        <v/>
      </c>
      <c r="D38" s="327"/>
      <c r="E38" s="327"/>
      <c r="F38" s="327"/>
      <c r="G38" s="327"/>
      <c r="H38" s="327"/>
      <c r="J38" s="22"/>
      <c r="L38" s="3"/>
      <c r="M38" s="4"/>
      <c r="N38" s="4"/>
      <c r="O38" s="4"/>
      <c r="AL38" s="64" t="str">
        <f t="shared" si="19"/>
        <v/>
      </c>
      <c r="AM38" s="1">
        <v>30</v>
      </c>
      <c r="AU38" s="64">
        <v>33</v>
      </c>
      <c r="AV38" s="109">
        <v>605</v>
      </c>
      <c r="AW38" s="113" t="s">
        <v>148</v>
      </c>
      <c r="AX38" s="81">
        <f t="shared" ref="AX38:AX42" si="20">AF9</f>
        <v>0</v>
      </c>
      <c r="AY38" s="120" t="e">
        <f>IF(VLOOKUP($E$1,#REF!,MATCH(AV38,#REF!,0),0)="","",VLOOKUP($E$1,#REF!,MATCH(AV38,#REF!,0),0))</f>
        <v>#REF!</v>
      </c>
      <c r="AZ38" s="48"/>
      <c r="BC38" s="42"/>
      <c r="BD38" s="42"/>
    </row>
    <row r="39" spans="2:56" s="2" customFormat="1" ht="16.8" x14ac:dyDescent="0.25">
      <c r="E39" s="4"/>
      <c r="F39" s="4"/>
      <c r="G39" s="4"/>
      <c r="J39" s="22"/>
      <c r="L39" s="3"/>
      <c r="M39" s="4"/>
      <c r="N39" s="4"/>
      <c r="O39" s="4"/>
      <c r="AL39" s="64" t="str">
        <f t="shared" si="19"/>
        <v/>
      </c>
      <c r="AM39" s="1">
        <v>31</v>
      </c>
      <c r="AU39" s="64">
        <v>34</v>
      </c>
      <c r="AV39" s="109">
        <v>606</v>
      </c>
      <c r="AW39" s="113" t="s">
        <v>149</v>
      </c>
      <c r="AX39" s="81">
        <f t="shared" si="20"/>
        <v>0</v>
      </c>
      <c r="AY39" s="120" t="e">
        <f>IF(VLOOKUP($E$1,#REF!,MATCH(AV39,#REF!,0),0)="","",VLOOKUP($E$1,#REF!,MATCH(AV39,#REF!,0),0))</f>
        <v>#REF!</v>
      </c>
      <c r="AZ39" s="48"/>
      <c r="BC39" s="42"/>
      <c r="BD39" s="42"/>
    </row>
    <row r="40" spans="2:56" s="2" customFormat="1" ht="16.8" x14ac:dyDescent="0.3">
      <c r="C40" s="21" t="e">
        <f>IF(VLOOKUP($E$1,#REF!,22,0)="م",1,"")</f>
        <v>#REF!</v>
      </c>
      <c r="D40" s="21" t="s">
        <v>187</v>
      </c>
      <c r="E40" s="4"/>
      <c r="F40" s="4"/>
      <c r="G40" s="4"/>
      <c r="J40" s="22"/>
      <c r="L40" s="3"/>
      <c r="M40" s="4"/>
      <c r="N40" s="4"/>
      <c r="O40" s="4"/>
      <c r="AL40" s="64" t="str">
        <f>IF(Z8&lt;&gt;"",Z8,"")</f>
        <v/>
      </c>
      <c r="AM40" s="1">
        <v>32</v>
      </c>
      <c r="AU40" s="64">
        <v>35</v>
      </c>
      <c r="AV40" s="109">
        <v>607</v>
      </c>
      <c r="AW40" s="113" t="s">
        <v>150</v>
      </c>
      <c r="AX40" s="81">
        <f t="shared" si="20"/>
        <v>0</v>
      </c>
      <c r="AY40" s="120" t="e">
        <f>IF(VLOOKUP($E$1,#REF!,MATCH(AV40,#REF!,0),0)="","",VLOOKUP($E$1,#REF!,MATCH(AV40,#REF!,0),0))</f>
        <v>#REF!</v>
      </c>
      <c r="AZ40" s="48"/>
      <c r="BC40" s="49"/>
      <c r="BD40" s="49"/>
    </row>
    <row r="41" spans="2:56" s="2" customFormat="1" ht="16.8" x14ac:dyDescent="0.3">
      <c r="C41" s="21" t="e">
        <f>IF(VLOOKUP($E$1,#REF!,23,0)="م",2,"")</f>
        <v>#REF!</v>
      </c>
      <c r="D41" s="21" t="s">
        <v>188</v>
      </c>
      <c r="E41" s="4"/>
      <c r="F41" s="4"/>
      <c r="G41" s="4"/>
      <c r="J41" s="22"/>
      <c r="L41" s="3"/>
      <c r="M41" s="4"/>
      <c r="N41" s="4"/>
      <c r="O41" s="4"/>
      <c r="AL41" s="64" t="str">
        <f t="shared" ref="AL41:AL45" si="21">IF(Z9&lt;&gt;"",Z9,"")</f>
        <v/>
      </c>
      <c r="AM41" s="1">
        <v>33</v>
      </c>
      <c r="AU41" s="64">
        <v>36</v>
      </c>
      <c r="AV41" s="109">
        <v>608</v>
      </c>
      <c r="AW41" s="113" t="s">
        <v>151</v>
      </c>
      <c r="AX41" s="81">
        <f t="shared" si="20"/>
        <v>0</v>
      </c>
      <c r="AY41" s="120" t="e">
        <f>IF(VLOOKUP($E$1,#REF!,MATCH(AV41,#REF!,0),0)="","",VLOOKUP($E$1,#REF!,MATCH(AV41,#REF!,0),0))</f>
        <v>#REF!</v>
      </c>
      <c r="AZ41" s="48"/>
      <c r="BC41" s="42"/>
      <c r="BD41" s="42"/>
    </row>
    <row r="42" spans="2:56" s="2" customFormat="1" ht="16.8" x14ac:dyDescent="0.3">
      <c r="C42" s="21" t="e">
        <f>IF(VLOOKUP($E$1,#REF!,24,0)="م",3,"")</f>
        <v>#REF!</v>
      </c>
      <c r="D42" s="21" t="s">
        <v>189</v>
      </c>
      <c r="E42" s="4"/>
      <c r="F42" s="4"/>
      <c r="G42" s="4"/>
      <c r="J42" s="22"/>
      <c r="L42" s="3"/>
      <c r="M42" s="4"/>
      <c r="N42" s="4"/>
      <c r="O42" s="4"/>
      <c r="AL42" s="64" t="str">
        <f t="shared" si="21"/>
        <v/>
      </c>
      <c r="AM42" s="1">
        <v>34</v>
      </c>
      <c r="AU42" s="64">
        <v>37</v>
      </c>
      <c r="AV42" s="109">
        <v>609</v>
      </c>
      <c r="AW42" s="113" t="s">
        <v>152</v>
      </c>
      <c r="AX42" s="81">
        <f t="shared" si="20"/>
        <v>0</v>
      </c>
      <c r="AY42" s="120" t="e">
        <f>IF(VLOOKUP($E$1,#REF!,MATCH(AV42,#REF!,0),0)="","",VLOOKUP($E$1,#REF!,MATCH(AV42,#REF!,0),0))</f>
        <v>#REF!</v>
      </c>
      <c r="AZ42" s="48"/>
      <c r="BC42" s="42"/>
      <c r="BD42" s="42"/>
    </row>
    <row r="43" spans="2:56" s="2" customFormat="1" ht="16.8" x14ac:dyDescent="0.3">
      <c r="B43" s="4"/>
      <c r="C43" s="21" t="e">
        <f>IF(VLOOKUP($E$1,#REF!,25,0)="م",4,"")</f>
        <v>#REF!</v>
      </c>
      <c r="D43" s="21" t="s">
        <v>190</v>
      </c>
      <c r="E43" s="5"/>
      <c r="H43" s="23"/>
      <c r="I43" s="23"/>
      <c r="J43" s="23"/>
      <c r="K43" s="23"/>
      <c r="L43" s="6"/>
      <c r="M43" s="6"/>
      <c r="N43" s="24"/>
      <c r="O43" s="24"/>
      <c r="P43" s="24"/>
      <c r="Q43" s="24"/>
      <c r="AL43" s="64" t="str">
        <f t="shared" si="21"/>
        <v/>
      </c>
      <c r="AM43" s="1">
        <v>35</v>
      </c>
      <c r="AU43" s="64">
        <v>38</v>
      </c>
      <c r="AV43" s="121">
        <v>704</v>
      </c>
      <c r="AW43" s="122" t="s">
        <v>160</v>
      </c>
      <c r="AX43" s="123">
        <f>X17</f>
        <v>0</v>
      </c>
      <c r="AY43" s="120" t="e">
        <f>IF(VLOOKUP($E$1,#REF!,MATCH(AV43,#REF!,0),0)="","",VLOOKUP($E$1,#REF!,MATCH(AV43,#REF!,0),0))</f>
        <v>#REF!</v>
      </c>
      <c r="AZ43" s="48"/>
      <c r="BC43" s="51"/>
      <c r="BD43" s="51"/>
    </row>
    <row r="44" spans="2:56" s="2" customFormat="1" ht="17.399999999999999" x14ac:dyDescent="0.3">
      <c r="B44" s="7"/>
      <c r="C44" s="21" t="e">
        <f>IF(VLOOKUP($E$1,#REF!,26,0)="م",5,"")</f>
        <v>#REF!</v>
      </c>
      <c r="D44" s="21" t="s">
        <v>222</v>
      </c>
      <c r="E44" s="4"/>
      <c r="F44" s="4"/>
      <c r="H44" s="23"/>
      <c r="I44" s="23"/>
      <c r="J44" s="23"/>
      <c r="K44" s="23"/>
      <c r="L44" s="6"/>
      <c r="M44" s="6"/>
      <c r="N44" s="24"/>
      <c r="O44" s="24"/>
      <c r="P44" s="24"/>
      <c r="Q44" s="24"/>
      <c r="AL44" s="64" t="str">
        <f t="shared" si="21"/>
        <v/>
      </c>
      <c r="AM44" s="1">
        <v>36</v>
      </c>
      <c r="AU44" s="64">
        <v>39</v>
      </c>
      <c r="AV44" s="121">
        <v>705</v>
      </c>
      <c r="AW44" s="122" t="s">
        <v>161</v>
      </c>
      <c r="AX44" s="123">
        <f t="shared" ref="AX44:AX47" si="22">X18</f>
        <v>0</v>
      </c>
      <c r="AY44" s="120" t="e">
        <f>IF(VLOOKUP($E$1,#REF!,MATCH(AV44,#REF!,0),0)="","",VLOOKUP($E$1,#REF!,MATCH(AV44,#REF!,0),0))</f>
        <v>#REF!</v>
      </c>
      <c r="AZ44" s="48"/>
      <c r="BC44" s="42"/>
      <c r="BD44" s="42"/>
    </row>
    <row r="45" spans="2:56" s="2" customFormat="1" ht="17.399999999999999" x14ac:dyDescent="0.3">
      <c r="B45" s="8"/>
      <c r="C45" s="21" t="e">
        <f>IF(VLOOKUP($E$1,#REF!,27,0)="م",6,"")</f>
        <v>#REF!</v>
      </c>
      <c r="D45" s="21" t="s">
        <v>256</v>
      </c>
      <c r="E45" s="8"/>
      <c r="F45" s="8"/>
      <c r="G45" s="9"/>
      <c r="H45" s="7"/>
      <c r="I45" s="7"/>
      <c r="J45" s="7"/>
      <c r="K45" s="7"/>
      <c r="L45" s="4"/>
      <c r="M45" s="4"/>
      <c r="N45" s="24"/>
      <c r="O45" s="24"/>
      <c r="P45" s="24"/>
      <c r="Q45" s="24"/>
      <c r="AL45" s="64" t="str">
        <f t="shared" si="21"/>
        <v/>
      </c>
      <c r="AM45" s="1">
        <v>37</v>
      </c>
      <c r="AU45" s="64">
        <v>40</v>
      </c>
      <c r="AV45" s="121">
        <v>706</v>
      </c>
      <c r="AW45" s="122" t="s">
        <v>162</v>
      </c>
      <c r="AX45" s="123">
        <f t="shared" si="22"/>
        <v>0</v>
      </c>
      <c r="AY45" s="120" t="e">
        <f>IF(VLOOKUP($E$1,#REF!,MATCH(AV45,#REF!,0),0)="","",VLOOKUP($E$1,#REF!,MATCH(AV45,#REF!,0),0))</f>
        <v>#REF!</v>
      </c>
      <c r="AZ45" s="48"/>
      <c r="BC45" s="42"/>
      <c r="BD45" s="42"/>
    </row>
    <row r="46" spans="2:56" s="2" customFormat="1" ht="17.25" customHeight="1" x14ac:dyDescent="0.3">
      <c r="B46" s="4"/>
      <c r="C46" s="21" t="e">
        <f>IF(VLOOKUP($E$1,#REF!,28,0)="م",7,"")</f>
        <v>#REF!</v>
      </c>
      <c r="D46" s="21" t="s">
        <v>258</v>
      </c>
      <c r="G46" s="4"/>
      <c r="H46" s="4"/>
      <c r="I46" s="4"/>
      <c r="J46" s="4"/>
      <c r="K46" s="4"/>
      <c r="L46" s="4"/>
      <c r="M46" s="10"/>
      <c r="N46" s="24"/>
      <c r="O46" s="24"/>
      <c r="P46" s="24"/>
      <c r="Q46" s="24"/>
      <c r="AL46" s="64" t="str">
        <f>IF(R17&lt;&gt;"",R17,"")</f>
        <v/>
      </c>
      <c r="AM46" s="1">
        <v>38</v>
      </c>
      <c r="AU46" s="64">
        <v>41</v>
      </c>
      <c r="AV46" s="121">
        <v>707</v>
      </c>
      <c r="AW46" s="122" t="s">
        <v>163</v>
      </c>
      <c r="AX46" s="123">
        <f t="shared" si="22"/>
        <v>0</v>
      </c>
      <c r="AY46" s="120" t="e">
        <f>IF(VLOOKUP($E$1,#REF!,MATCH(AV46,#REF!,0),0)="","",VLOOKUP($E$1,#REF!,MATCH(AV46,#REF!,0),0))</f>
        <v>#REF!</v>
      </c>
      <c r="AZ46" s="48"/>
      <c r="BC46" s="49"/>
      <c r="BD46" s="49"/>
    </row>
    <row r="47" spans="2:56" s="2" customFormat="1" ht="19.5" customHeight="1" x14ac:dyDescent="0.3">
      <c r="B47" s="7"/>
      <c r="C47" s="21" t="e">
        <f>IF(VLOOKUP($E$1,#REF!,32,0)="م",8,"")</f>
        <v>#REF!</v>
      </c>
      <c r="D47" s="4" t="s">
        <v>260</v>
      </c>
      <c r="E47" s="9"/>
      <c r="F47" s="9"/>
      <c r="G47" s="4"/>
      <c r="H47" s="4"/>
      <c r="I47" s="4"/>
      <c r="J47" s="4"/>
      <c r="K47" s="4"/>
      <c r="L47" s="4"/>
      <c r="M47" s="6"/>
      <c r="N47" s="6"/>
      <c r="O47" s="11"/>
      <c r="P47" s="11"/>
      <c r="Q47" s="11"/>
      <c r="AL47" s="64" t="str">
        <f t="shared" ref="AL47:AL50" si="23">IF(R18&lt;&gt;"",R18,"")</f>
        <v/>
      </c>
      <c r="AM47" s="1">
        <v>39</v>
      </c>
      <c r="AU47" s="64">
        <v>42</v>
      </c>
      <c r="AV47" s="121">
        <v>708</v>
      </c>
      <c r="AW47" s="122" t="s">
        <v>164</v>
      </c>
      <c r="AX47" s="123">
        <f t="shared" si="22"/>
        <v>0</v>
      </c>
      <c r="AY47" s="120" t="e">
        <f>IF(VLOOKUP($E$1,#REF!,MATCH(AV47,#REF!,0),0)="","",VLOOKUP($E$1,#REF!,MATCH(AV47,#REF!,0),0))</f>
        <v>#REF!</v>
      </c>
      <c r="AZ47" s="48"/>
      <c r="BC47" s="42"/>
      <c r="BD47" s="42"/>
    </row>
    <row r="48" spans="2:56" s="2" customFormat="1" ht="19.5" customHeight="1" x14ac:dyDescent="0.3">
      <c r="C48" s="21" t="e">
        <f>IF(VLOOKUP($E$1,#REF!,33,0)="م",9,"")</f>
        <v>#REF!</v>
      </c>
      <c r="D48" s="4" t="s">
        <v>262</v>
      </c>
      <c r="AL48" s="64" t="str">
        <f t="shared" si="23"/>
        <v/>
      </c>
      <c r="AM48" s="1">
        <v>40</v>
      </c>
      <c r="AU48" s="64">
        <v>43</v>
      </c>
      <c r="AV48" s="109">
        <v>804</v>
      </c>
      <c r="AW48" s="113" t="s">
        <v>165</v>
      </c>
      <c r="AX48" s="94">
        <f>AF17</f>
        <v>0</v>
      </c>
      <c r="AY48" s="120" t="e">
        <f>IF(VLOOKUP($E$1,#REF!,MATCH(AV48,#REF!,0),0)="","",VLOOKUP($E$1,#REF!,MATCH(AV48,#REF!,0),0))</f>
        <v>#REF!</v>
      </c>
      <c r="AZ48" s="48"/>
      <c r="BC48" s="42"/>
      <c r="BD48" s="42"/>
    </row>
    <row r="49" spans="2:56" s="2" customFormat="1" ht="19.5" customHeight="1" x14ac:dyDescent="0.25">
      <c r="B49" s="25"/>
      <c r="C49" s="25" t="e">
        <f>IF(VLOOKUP($E$1,#REF!,34,0)="م",10,"")</f>
        <v>#REF!</v>
      </c>
      <c r="D49" s="4" t="s">
        <v>264</v>
      </c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AL49" s="64" t="str">
        <f t="shared" si="23"/>
        <v/>
      </c>
      <c r="AM49" s="1">
        <v>41</v>
      </c>
      <c r="AU49" s="64">
        <v>44</v>
      </c>
      <c r="AV49" s="109">
        <v>805</v>
      </c>
      <c r="AW49" s="113" t="s">
        <v>166</v>
      </c>
      <c r="AX49" s="94">
        <f t="shared" ref="AX49:AX52" si="24">AF18</f>
        <v>0</v>
      </c>
      <c r="AY49" s="120" t="e">
        <f>IF(VLOOKUP($E$1,#REF!,MATCH(AV49,#REF!,0),0)="","",VLOOKUP($E$1,#REF!,MATCH(AV49,#REF!,0),0))</f>
        <v>#REF!</v>
      </c>
      <c r="AZ49" s="48"/>
      <c r="BC49" s="42"/>
      <c r="BD49" s="42"/>
    </row>
    <row r="50" spans="2:56" s="2" customFormat="1" ht="17.25" customHeight="1" x14ac:dyDescent="0.25">
      <c r="B50" s="25"/>
      <c r="C50" s="25" t="e">
        <f>IF(VLOOKUP($E$1,#REF!,35,0)="م",11,"")</f>
        <v>#REF!</v>
      </c>
      <c r="D50" s="4" t="s">
        <v>265</v>
      </c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AL50" s="64" t="str">
        <f t="shared" si="23"/>
        <v/>
      </c>
      <c r="AM50" s="1">
        <v>42</v>
      </c>
      <c r="AU50" s="64">
        <v>45</v>
      </c>
      <c r="AV50" s="109">
        <v>806</v>
      </c>
      <c r="AW50" s="113" t="s">
        <v>167</v>
      </c>
      <c r="AX50" s="94">
        <f t="shared" si="24"/>
        <v>0</v>
      </c>
      <c r="AY50" s="120" t="e">
        <f>IF(VLOOKUP($E$1,#REF!,MATCH(AV50,#REF!,0),0)="","",VLOOKUP($E$1,#REF!,MATCH(AV50,#REF!,0),0))</f>
        <v>#REF!</v>
      </c>
      <c r="AZ50" s="48"/>
      <c r="BC50" s="51"/>
      <c r="BD50" s="51"/>
    </row>
    <row r="51" spans="2:56" s="2" customFormat="1" ht="19.5" customHeight="1" x14ac:dyDescent="0.25">
      <c r="B51" s="12"/>
      <c r="C51" s="12"/>
      <c r="D51" s="12"/>
      <c r="E51" s="12"/>
      <c r="F51" s="12"/>
      <c r="G51" s="12"/>
      <c r="H51" s="13"/>
      <c r="I51" s="13"/>
      <c r="J51" s="13"/>
      <c r="K51" s="7"/>
      <c r="L51" s="7"/>
      <c r="M51" s="13"/>
      <c r="N51" s="13"/>
      <c r="O51" s="12"/>
      <c r="P51" s="12"/>
      <c r="Q51" s="12"/>
      <c r="AL51" s="64" t="str">
        <f>IF(Z17&lt;&gt;"",Z17,"")</f>
        <v/>
      </c>
      <c r="AM51" s="1">
        <v>43</v>
      </c>
      <c r="AU51" s="64">
        <v>46</v>
      </c>
      <c r="AV51" s="109">
        <v>807</v>
      </c>
      <c r="AW51" s="113" t="s">
        <v>168</v>
      </c>
      <c r="AX51" s="94">
        <f t="shared" si="24"/>
        <v>0</v>
      </c>
      <c r="AY51" s="120" t="e">
        <f>IF(VLOOKUP($E$1,#REF!,MATCH(AV51,#REF!,0),0)="","",VLOOKUP($E$1,#REF!,MATCH(AV51,#REF!,0),0))</f>
        <v>#REF!</v>
      </c>
      <c r="AZ51" s="48"/>
      <c r="BC51" s="42"/>
      <c r="BD51" s="42"/>
    </row>
    <row r="52" spans="2:56" s="2" customFormat="1" ht="17.25" customHeight="1" x14ac:dyDescent="0.25">
      <c r="B52" s="13"/>
      <c r="C52" s="13"/>
      <c r="D52" s="13"/>
      <c r="E52" s="13"/>
      <c r="F52" s="13"/>
      <c r="G52" s="13"/>
      <c r="O52" s="13"/>
      <c r="P52" s="13"/>
      <c r="Q52" s="13"/>
      <c r="AL52" s="64" t="str">
        <f t="shared" ref="AL52:AL55" si="25">IF(Z18&lt;&gt;"",Z18,"")</f>
        <v/>
      </c>
      <c r="AM52" s="1">
        <v>44</v>
      </c>
      <c r="AU52" s="64">
        <v>47</v>
      </c>
      <c r="AV52" s="116">
        <v>808</v>
      </c>
      <c r="AW52" s="117" t="s">
        <v>169</v>
      </c>
      <c r="AX52" s="94">
        <f t="shared" si="24"/>
        <v>0</v>
      </c>
      <c r="AY52" s="120" t="e">
        <f>IF(VLOOKUP($E$1,#REF!,MATCH(AV52,#REF!,0),0)="","",VLOOKUP($E$1,#REF!,MATCH(AV52,#REF!,0),0))</f>
        <v>#REF!</v>
      </c>
      <c r="AZ52" s="48"/>
      <c r="BC52" s="49"/>
      <c r="BD52" s="49"/>
    </row>
    <row r="53" spans="2:56" s="2" customFormat="1" ht="21.75" customHeight="1" x14ac:dyDescent="0.6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AL53" s="64" t="str">
        <f t="shared" si="25"/>
        <v/>
      </c>
      <c r="AM53" s="1">
        <v>45</v>
      </c>
      <c r="AU53" s="64"/>
      <c r="AV53"/>
      <c r="AW53"/>
      <c r="AX53" s="94"/>
      <c r="AY53" s="94"/>
      <c r="AZ53" s="48"/>
      <c r="BC53" s="42"/>
      <c r="BD53" s="42"/>
    </row>
    <row r="54" spans="2:56" s="2" customFormat="1" ht="21.75" customHeight="1" x14ac:dyDescent="0.25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7"/>
      <c r="O54" s="7"/>
      <c r="P54" s="7"/>
      <c r="Q54" s="7"/>
      <c r="AL54" s="64" t="str">
        <f t="shared" si="25"/>
        <v/>
      </c>
      <c r="AM54" s="1">
        <v>46</v>
      </c>
      <c r="AU54" s="64"/>
      <c r="AV54"/>
      <c r="AW54"/>
      <c r="AX54" s="94"/>
      <c r="AY54" s="94"/>
      <c r="AZ54" s="48"/>
      <c r="BC54" s="51"/>
      <c r="BD54" s="51"/>
    </row>
    <row r="55" spans="2:56" s="2" customFormat="1" ht="21.75" customHeight="1" x14ac:dyDescent="0.25">
      <c r="B55" s="15"/>
      <c r="C55" s="15"/>
      <c r="D55" s="15"/>
      <c r="E55" s="14"/>
      <c r="F55" s="15"/>
      <c r="G55" s="15"/>
      <c r="H55" s="15"/>
      <c r="I55" s="15"/>
      <c r="J55" s="15"/>
      <c r="K55" s="15"/>
      <c r="L55" s="15"/>
      <c r="M55" s="15"/>
      <c r="N55" s="8"/>
      <c r="O55" s="8"/>
      <c r="P55" s="8"/>
      <c r="Q55" s="8"/>
      <c r="AL55" s="64" t="str">
        <f t="shared" si="25"/>
        <v/>
      </c>
      <c r="AM55" s="1">
        <v>47</v>
      </c>
      <c r="AU55" s="64"/>
      <c r="AV55"/>
      <c r="AW55"/>
      <c r="AX55" s="94"/>
      <c r="AY55" s="94"/>
      <c r="AZ55" s="48"/>
      <c r="BC55" s="51"/>
      <c r="BD55" s="51"/>
    </row>
    <row r="56" spans="2:56" s="2" customFormat="1" ht="21.6" thickBot="1" x14ac:dyDescent="0.45">
      <c r="B56" s="16"/>
      <c r="C56" s="20"/>
      <c r="D56" s="20"/>
      <c r="E56" s="20"/>
      <c r="F56" s="20"/>
      <c r="G56" s="20"/>
      <c r="H56" s="20"/>
      <c r="I56" s="16"/>
      <c r="J56" s="16"/>
      <c r="K56" s="17"/>
      <c r="L56" s="18"/>
      <c r="M56" s="18"/>
      <c r="N56" s="19"/>
      <c r="O56" s="19"/>
      <c r="P56" s="19"/>
      <c r="Q56" s="19"/>
      <c r="AL56" s="58"/>
      <c r="AM56" s="1"/>
      <c r="AU56" s="64"/>
      <c r="AV56"/>
      <c r="AW56"/>
      <c r="AX56" s="94"/>
      <c r="AY56" s="94"/>
      <c r="AZ56" s="94"/>
      <c r="BA56" s="94"/>
      <c r="BB56" s="94"/>
    </row>
    <row r="57" spans="2:56" ht="14.25" customHeight="1" thickTop="1" x14ac:dyDescent="0.25"/>
  </sheetData>
  <sheetProtection selectLockedCells="1"/>
  <mergeCells count="144">
    <mergeCell ref="C36:H36"/>
    <mergeCell ref="C34:H34"/>
    <mergeCell ref="AE4:AI4"/>
    <mergeCell ref="AB4:AC4"/>
    <mergeCell ref="L4:N4"/>
    <mergeCell ref="O4:P4"/>
    <mergeCell ref="Q4:T4"/>
    <mergeCell ref="AH1:AI1"/>
    <mergeCell ref="AH2:AI2"/>
    <mergeCell ref="AH3:AI3"/>
    <mergeCell ref="E3:G3"/>
    <mergeCell ref="X1:Z1"/>
    <mergeCell ref="AE1:AG1"/>
    <mergeCell ref="H2:N2"/>
    <mergeCell ref="X2:Z2"/>
    <mergeCell ref="AB2:AC2"/>
    <mergeCell ref="AE2:AG2"/>
    <mergeCell ref="X3:Z3"/>
    <mergeCell ref="AE3:AG3"/>
    <mergeCell ref="Q3:T3"/>
    <mergeCell ref="U3:V3"/>
    <mergeCell ref="H3:J3"/>
    <mergeCell ref="L3:N3"/>
    <mergeCell ref="O3:P3"/>
    <mergeCell ref="C4:D4"/>
    <mergeCell ref="C2:D2"/>
    <mergeCell ref="E2:G2"/>
    <mergeCell ref="O2:P2"/>
    <mergeCell ref="AB5:AC5"/>
    <mergeCell ref="E4:G4"/>
    <mergeCell ref="H4:J4"/>
    <mergeCell ref="U4:V4"/>
    <mergeCell ref="B3:D3"/>
    <mergeCell ref="X4:Z4"/>
    <mergeCell ref="Q5:T5"/>
    <mergeCell ref="X5:Z5"/>
    <mergeCell ref="C5:E5"/>
    <mergeCell ref="F5:N5"/>
    <mergeCell ref="O5:P5"/>
    <mergeCell ref="U5:V5"/>
    <mergeCell ref="O1:P1"/>
    <mergeCell ref="C1:D1"/>
    <mergeCell ref="E1:G1"/>
    <mergeCell ref="H1:J1"/>
    <mergeCell ref="L1:N1"/>
    <mergeCell ref="U1:V1"/>
    <mergeCell ref="AB3:AC3"/>
    <mergeCell ref="AB1:AC1"/>
    <mergeCell ref="U2:V2"/>
    <mergeCell ref="Q2:T2"/>
    <mergeCell ref="Q1:T1"/>
    <mergeCell ref="AH12:AJ19"/>
    <mergeCell ref="U9:W9"/>
    <mergeCell ref="AC10:AE10"/>
    <mergeCell ref="AC17:AE17"/>
    <mergeCell ref="U18:W18"/>
    <mergeCell ref="U10:W10"/>
    <mergeCell ref="AC9:AE9"/>
    <mergeCell ref="AC11:AE11"/>
    <mergeCell ref="T16:AG16"/>
    <mergeCell ref="AC19:AE19"/>
    <mergeCell ref="AH9:AJ9"/>
    <mergeCell ref="AH10:AJ11"/>
    <mergeCell ref="U11:W11"/>
    <mergeCell ref="AC13:AE13"/>
    <mergeCell ref="AC12:AE12"/>
    <mergeCell ref="AC18:AE18"/>
    <mergeCell ref="T6:AG6"/>
    <mergeCell ref="W27:Y27"/>
    <mergeCell ref="D11:G11"/>
    <mergeCell ref="D13:G13"/>
    <mergeCell ref="D12:G12"/>
    <mergeCell ref="U8:W8"/>
    <mergeCell ref="B16:Q16"/>
    <mergeCell ref="U19:W19"/>
    <mergeCell ref="M19:O19"/>
    <mergeCell ref="U20:W20"/>
    <mergeCell ref="U17:W17"/>
    <mergeCell ref="M12:O12"/>
    <mergeCell ref="M11:O11"/>
    <mergeCell ref="M10:O10"/>
    <mergeCell ref="B6:R6"/>
    <mergeCell ref="M17:O17"/>
    <mergeCell ref="M20:O20"/>
    <mergeCell ref="D20:G20"/>
    <mergeCell ref="D19:G19"/>
    <mergeCell ref="D17:G17"/>
    <mergeCell ref="D18:G18"/>
    <mergeCell ref="M18:O18"/>
    <mergeCell ref="L13:Q13"/>
    <mergeCell ref="A14:P14"/>
    <mergeCell ref="D8:G8"/>
    <mergeCell ref="D9:G9"/>
    <mergeCell ref="M8:O8"/>
    <mergeCell ref="M9:O9"/>
    <mergeCell ref="D10:G10"/>
    <mergeCell ref="P30:U30"/>
    <mergeCell ref="W30:AA30"/>
    <mergeCell ref="AC30:AE30"/>
    <mergeCell ref="T28:V28"/>
    <mergeCell ref="W28:Y28"/>
    <mergeCell ref="B7:I7"/>
    <mergeCell ref="L7:Q7"/>
    <mergeCell ref="T7:Y7"/>
    <mergeCell ref="AB7:AG7"/>
    <mergeCell ref="T22:AG23"/>
    <mergeCell ref="U21:W21"/>
    <mergeCell ref="U12:W12"/>
    <mergeCell ref="T27:V27"/>
    <mergeCell ref="M23:O23"/>
    <mergeCell ref="D23:G23"/>
    <mergeCell ref="M21:O21"/>
    <mergeCell ref="D22:G22"/>
    <mergeCell ref="M22:O22"/>
    <mergeCell ref="D21:G21"/>
    <mergeCell ref="U13:W13"/>
    <mergeCell ref="T14:AF14"/>
    <mergeCell ref="AC20:AE20"/>
    <mergeCell ref="AC21:AE21"/>
    <mergeCell ref="AC8:AE8"/>
    <mergeCell ref="C38:H38"/>
    <mergeCell ref="C37:H37"/>
    <mergeCell ref="C35:H35"/>
    <mergeCell ref="C33:H33"/>
    <mergeCell ref="Z28:AF28"/>
    <mergeCell ref="C31:H31"/>
    <mergeCell ref="J31:AF32"/>
    <mergeCell ref="C32:H32"/>
    <mergeCell ref="C27:H27"/>
    <mergeCell ref="N27:R27"/>
    <mergeCell ref="Z27:AC27"/>
    <mergeCell ref="AD27:AG27"/>
    <mergeCell ref="C28:H28"/>
    <mergeCell ref="L28:M28"/>
    <mergeCell ref="N28:R28"/>
    <mergeCell ref="C29:H29"/>
    <mergeCell ref="N29:R29"/>
    <mergeCell ref="T29:V29"/>
    <mergeCell ref="W29:Y29"/>
    <mergeCell ref="Z29:AC29"/>
    <mergeCell ref="AD29:AG29"/>
    <mergeCell ref="L29:M29"/>
    <mergeCell ref="L27:M27"/>
    <mergeCell ref="C30:H30"/>
  </mergeCells>
  <phoneticPr fontId="66" type="noConversion"/>
  <conditionalFormatting sqref="A6 S6:AG6 A7:B7 J7:L7 R7:T7 Z7:AB7 A8:AG16 R17:AG21 A17:P22 Q17:Q23 R22:T22 J23:P23 R23:S23 A23:I24 J24:AG24 A25:AG27 A28:W28 Z28 AG28 A29:AG32 A33:C35 I33:AG37 C36:C38 A36:B48 E38:AG48 C40:D48 A49:AG1048576">
    <cfRule type="expression" dxfId="23" priority="5">
      <formula>$E$2="مستنفذ"</formula>
    </cfRule>
  </conditionalFormatting>
  <conditionalFormatting sqref="B6">
    <cfRule type="expression" dxfId="22" priority="6">
      <formula>$E$2="مستنفذ"</formula>
    </cfRule>
  </conditionalFormatting>
  <dataValidations count="3">
    <dataValidation type="list" allowBlank="1" showInputMessage="1" showErrorMessage="1" sqref="N29" xr:uid="{00000000-0002-0000-0200-000000000000}">
      <formula1>$BC$4:$BC$5</formula1>
    </dataValidation>
    <dataValidation type="list" allowBlank="1" showInputMessage="1" showErrorMessage="1" sqref="F5:N5" xr:uid="{00000000-0002-0000-0200-000001000000}">
      <formula1>$AO$1:$AO$9</formula1>
    </dataValidation>
    <dataValidation type="custom" allowBlank="1" showInputMessage="1" showErrorMessage="1" error="يجب أن تقوم أولاً بملئ المعلومات المطلوبة في صفحة ادخال البيانات ومن ثم اختر المقررات التي ترغب بتسجيلها" sqref="H8:H13 H17:H23 P17:P23 X17:X21 AF17:AF21 AF8:AF13 X8:X13 P8:P12" xr:uid="{00000000-0002-0000-0200-000002000000}">
      <formula1>$AK$4=0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AP44"/>
  <sheetViews>
    <sheetView showGridLines="0" rightToLeft="1" workbookViewId="0">
      <selection activeCell="J12" sqref="J12"/>
    </sheetView>
  </sheetViews>
  <sheetFormatPr defaultColWidth="0" defaultRowHeight="15" x14ac:dyDescent="0.25"/>
  <cols>
    <col min="1" max="1" width="3.8984375" style="125" customWidth="1"/>
    <col min="2" max="2" width="1.3984375" style="125" customWidth="1"/>
    <col min="3" max="3" width="4.3984375" style="125" customWidth="1"/>
    <col min="4" max="4" width="4.09765625" style="125" customWidth="1"/>
    <col min="5" max="5" width="8" style="136" customWidth="1"/>
    <col min="6" max="6" width="7.09765625" style="136" customWidth="1"/>
    <col min="7" max="7" width="3.8984375" style="136" customWidth="1"/>
    <col min="8" max="8" width="5.3984375" style="136" customWidth="1"/>
    <col min="9" max="10" width="7.3984375" style="125" customWidth="1"/>
    <col min="11" max="11" width="5.8984375" style="125" customWidth="1"/>
    <col min="12" max="12" width="3.3984375" style="125" customWidth="1"/>
    <col min="13" max="13" width="7.09765625" style="136" customWidth="1"/>
    <col min="14" max="14" width="8.3984375" style="136" customWidth="1"/>
    <col min="15" max="15" width="6.3984375" style="136" customWidth="1"/>
    <col min="16" max="16" width="4.3984375" style="125" customWidth="1"/>
    <col min="17" max="17" width="5.3984375" style="125" customWidth="1"/>
    <col min="18" max="18" width="2.3984375" style="125" customWidth="1"/>
    <col min="19" max="19" width="1.8984375" style="125" customWidth="1"/>
    <col min="20" max="21" width="9" style="125" hidden="1" customWidth="1"/>
    <col min="22" max="22" width="3" style="125" hidden="1" customWidth="1"/>
    <col min="23" max="24" width="9" style="125" hidden="1" customWidth="1"/>
    <col min="25" max="25" width="5" style="125" hidden="1" customWidth="1"/>
    <col min="26" max="28" width="9" style="125" hidden="1" customWidth="1"/>
    <col min="29" max="36" width="9" style="125" customWidth="1"/>
    <col min="37" max="41" width="9" style="125" hidden="1" customWidth="1"/>
    <col min="42" max="42" width="43" style="125" hidden="1" customWidth="1"/>
    <col min="43" max="16384" width="9" style="125" hidden="1"/>
  </cols>
  <sheetData>
    <row r="1" spans="1:42" ht="16.95" customHeight="1" thickBot="1" x14ac:dyDescent="0.3">
      <c r="A1" s="1"/>
      <c r="B1" s="470">
        <f ca="1">NOW()</f>
        <v>45728.388749999998</v>
      </c>
      <c r="C1" s="470"/>
      <c r="D1" s="470"/>
      <c r="E1" s="470"/>
      <c r="F1" s="482" t="s">
        <v>268</v>
      </c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T1" s="98" t="b">
        <f>IF(OR(H12=1,H12=2,H12=3),IF(OR($E$22=$AP$7,$AP$9=BL13),0,IF($E$22=$AP$2,IF(H12=1,4000,IF(H12=2,5200,IF(H12=3,6000,""))),IF(OR($E$22=$AP$3,$E$22=$AP$6),IF(H12=1,2500,IF(H12=2,3250,IF(H12=3,3750,""))),IF($E$22=$AP$4,500,IF(OR($E$22=$AP$1,$E$22=$AP$5,$E$22=$AP$8),IF(H12=1,4000,IF(H12=2,5500,IF(H12=3,6500,""))),IF(H12=1,5000,IF(H12=2,6500,IF(H12=3,7500,"")))))))))</f>
        <v>0</v>
      </c>
      <c r="X1" s="1"/>
      <c r="Y1" s="1"/>
      <c r="Z1" s="1"/>
      <c r="AA1" s="1"/>
      <c r="AB1" s="1"/>
      <c r="AC1" s="447" t="str">
        <f>IF(AJ1&gt;0,"يجب عليك ادخال البيانات المطلوبة أدناه بالمعلومات الصحيحة في صفحة إدخال البيانات لتتمكن من طباعة استمارة المقررات بشكل صحيح","")</f>
        <v>يجب عليك ادخال البيانات المطلوبة أدناه بالمعلومات الصحيحة في صفحة إدخال البيانات لتتمكن من طباعة استمارة المقررات بشكل صحيح</v>
      </c>
      <c r="AD1" s="447"/>
      <c r="AE1" s="447"/>
      <c r="AF1" s="447"/>
      <c r="AG1" s="447"/>
      <c r="AH1" s="448"/>
      <c r="AI1" s="159"/>
      <c r="AJ1" s="161">
        <f>COUNT(AA3:AA21)</f>
        <v>18</v>
      </c>
      <c r="AP1" s="58" t="s">
        <v>72</v>
      </c>
    </row>
    <row r="2" spans="1:42" ht="17.25" customHeight="1" thickBot="1" x14ac:dyDescent="0.3">
      <c r="A2" s="1"/>
      <c r="B2" s="471" t="s">
        <v>223</v>
      </c>
      <c r="C2" s="472"/>
      <c r="D2" s="473">
        <f>'اختيار المقررات'!E1</f>
        <v>0</v>
      </c>
      <c r="E2" s="473"/>
      <c r="F2" s="474" t="s">
        <v>3</v>
      </c>
      <c r="G2" s="474"/>
      <c r="H2" s="475">
        <f>'اختيار المقررات'!L1</f>
        <v>0</v>
      </c>
      <c r="I2" s="475"/>
      <c r="J2" s="475"/>
      <c r="K2" s="474" t="s">
        <v>4</v>
      </c>
      <c r="L2" s="474"/>
      <c r="M2" s="476">
        <f>'اختيار المقررات'!Q1</f>
        <v>0</v>
      </c>
      <c r="N2" s="476"/>
      <c r="O2" s="162" t="s">
        <v>5</v>
      </c>
      <c r="P2" s="476">
        <f>'اختيار المقررات'!W1</f>
        <v>0</v>
      </c>
      <c r="Q2" s="476"/>
      <c r="R2" s="479"/>
      <c r="T2" s="98" t="b">
        <f>IF(OR(H13=1,H13=2,H13=3),IF(OR($E$22=$AP$7,$AP$9=BL14),0,IF($E$22=$AP$2,IF(H13=1,4000,IF(H13=2,5200,IF(H13=3,6000,""))),IF(OR($E$22=$AP$3,$E$22=$AP$6),IF(H13=1,2500,IF(H13=2,3250,IF(H13=3,3750,""))),IF($E$22=$AP$4,500,IF(OR($E$22=$AP$1,$E$22=$AP$5,$E$22=$AP$8),IF(H13=1,4000,IF(H13=2,5500,IF(H13=3,6500,""))),IF(H13=1,5000,IF(H13=2,6500,IF(H13=3,7500,"")))))))))</f>
        <v>0</v>
      </c>
      <c r="X2" s="1"/>
      <c r="Y2" s="1"/>
      <c r="Z2" s="1"/>
      <c r="AA2" s="1"/>
      <c r="AB2" s="1"/>
      <c r="AC2" s="447"/>
      <c r="AD2" s="447"/>
      <c r="AE2" s="447"/>
      <c r="AF2" s="447"/>
      <c r="AG2" s="447"/>
      <c r="AH2" s="448"/>
      <c r="AI2" s="160" t="s">
        <v>269</v>
      </c>
      <c r="AJ2" s="1"/>
      <c r="AP2" s="64" t="s">
        <v>73</v>
      </c>
    </row>
    <row r="3" spans="1:42" ht="18.75" customHeight="1" thickTop="1" thickBot="1" x14ac:dyDescent="0.3">
      <c r="A3" s="1"/>
      <c r="B3" s="458" t="s">
        <v>224</v>
      </c>
      <c r="C3" s="459"/>
      <c r="D3" s="480">
        <f>'اختيار المقررات'!E2</f>
        <v>0</v>
      </c>
      <c r="E3" s="480"/>
      <c r="F3" s="432">
        <f>'اختيار المقررات'!Q2</f>
        <v>0</v>
      </c>
      <c r="G3" s="432"/>
      <c r="H3" s="417" t="s">
        <v>83</v>
      </c>
      <c r="I3" s="417"/>
      <c r="J3" s="483">
        <f>'اختيار المقررات'!W2</f>
        <v>0</v>
      </c>
      <c r="K3" s="483"/>
      <c r="L3" s="483"/>
      <c r="M3" s="228" t="s">
        <v>84</v>
      </c>
      <c r="N3" s="480">
        <f>'اختيار المقررات'!AB2</f>
        <v>0</v>
      </c>
      <c r="O3" s="480"/>
      <c r="P3" s="480"/>
      <c r="Q3" s="430" t="s">
        <v>85</v>
      </c>
      <c r="R3" s="481"/>
      <c r="X3" s="1">
        <v>1</v>
      </c>
      <c r="Y3" s="1">
        <f>IF(Z3&lt;&gt;"",X3,"")</f>
        <v>1</v>
      </c>
      <c r="Z3" s="1" t="str">
        <f>IF(LEN(M2)&lt;2,K2,"")</f>
        <v>اسم الاب:</v>
      </c>
      <c r="AA3" s="1">
        <f>IFERROR(SMALL($Y$3:$Y$22,X3),"")</f>
        <v>1</v>
      </c>
      <c r="AB3" s="1"/>
      <c r="AC3" s="161"/>
      <c r="AD3" s="161"/>
      <c r="AE3" s="394" t="str">
        <f>IFERROR(VLOOKUP(AA3,$X$3:$Z$22,3,0),"")</f>
        <v>اسم الاب:</v>
      </c>
      <c r="AF3" s="394"/>
      <c r="AG3" s="394"/>
      <c r="AH3" s="161"/>
      <c r="AI3" s="161"/>
      <c r="AJ3" s="1"/>
      <c r="AP3" s="64" t="s">
        <v>47</v>
      </c>
    </row>
    <row r="4" spans="1:42" ht="16.8" thickTop="1" thickBot="1" x14ac:dyDescent="0.3">
      <c r="A4" s="1"/>
      <c r="B4" s="458" t="s">
        <v>225</v>
      </c>
      <c r="C4" s="459"/>
      <c r="D4" s="432">
        <f>'اختيار المقررات'!E3</f>
        <v>0</v>
      </c>
      <c r="E4" s="432"/>
      <c r="F4" s="467" t="s">
        <v>226</v>
      </c>
      <c r="G4" s="467"/>
      <c r="H4" s="429">
        <f>'اختيار المقررات'!AB1</f>
        <v>0</v>
      </c>
      <c r="I4" s="429"/>
      <c r="J4" s="163" t="s">
        <v>227</v>
      </c>
      <c r="K4" s="432">
        <f>'اختيار المقررات'!AE1</f>
        <v>0</v>
      </c>
      <c r="L4" s="432"/>
      <c r="M4" s="432"/>
      <c r="N4" s="480">
        <f>'اختيار المقررات'!H2</f>
        <v>0</v>
      </c>
      <c r="O4" s="480"/>
      <c r="P4" s="480"/>
      <c r="Q4" s="417" t="s">
        <v>82</v>
      </c>
      <c r="R4" s="484"/>
      <c r="X4" s="1">
        <v>2</v>
      </c>
      <c r="Y4" s="1">
        <f t="shared" ref="Y4:Y22" si="0">IF(Z4&lt;&gt;"",X4,"")</f>
        <v>2</v>
      </c>
      <c r="Z4" s="1" t="str">
        <f>IF(LEN(P2)&lt;2,O2,"")</f>
        <v>اسم الام:</v>
      </c>
      <c r="AA4" s="1">
        <f t="shared" ref="AA4:AA21" si="1">IFERROR(SMALL($Y$3:$Y$22,X4),"")</f>
        <v>2</v>
      </c>
      <c r="AB4" s="1"/>
      <c r="AC4" s="161"/>
      <c r="AD4" s="161"/>
      <c r="AE4" s="394" t="str">
        <f t="shared" ref="AE4:AE22" si="2">IFERROR(VLOOKUP(AA4,$X$3:$Z$22,3,0),"")</f>
        <v>اسم الام:</v>
      </c>
      <c r="AF4" s="394"/>
      <c r="AG4" s="394"/>
      <c r="AH4" s="161"/>
      <c r="AI4" s="161"/>
      <c r="AJ4" s="1"/>
      <c r="AP4" s="42" t="s">
        <v>60</v>
      </c>
    </row>
    <row r="5" spans="1:42" ht="16.8" thickTop="1" thickBot="1" x14ac:dyDescent="0.3">
      <c r="A5" s="1"/>
      <c r="B5" s="458" t="s">
        <v>228</v>
      </c>
      <c r="C5" s="459"/>
      <c r="D5" s="432">
        <f>'اختيار المقررات'!L3</f>
        <v>0</v>
      </c>
      <c r="E5" s="432"/>
      <c r="F5" s="459" t="s">
        <v>229</v>
      </c>
      <c r="G5" s="459"/>
      <c r="H5" s="431">
        <f>'اختيار المقررات'!Q3</f>
        <v>0</v>
      </c>
      <c r="I5" s="431"/>
      <c r="J5" s="163" t="s">
        <v>230</v>
      </c>
      <c r="K5" s="431" t="str">
        <f>'اختيار المقررات'!AB3</f>
        <v>غير سوري</v>
      </c>
      <c r="L5" s="431"/>
      <c r="M5" s="431"/>
      <c r="N5" s="459" t="s">
        <v>231</v>
      </c>
      <c r="O5" s="459"/>
      <c r="P5" s="432" t="str">
        <f>'اختيار المقررات'!W3</f>
        <v>غير سوري</v>
      </c>
      <c r="Q5" s="432"/>
      <c r="R5" s="433"/>
      <c r="X5" s="1">
        <v>3</v>
      </c>
      <c r="Y5" s="1">
        <f t="shared" si="0"/>
        <v>3</v>
      </c>
      <c r="Z5" s="1" t="str">
        <f>IF(LEN(N3)&lt;2,Q3,"")</f>
        <v>Full Name</v>
      </c>
      <c r="AA5" s="1">
        <f t="shared" si="1"/>
        <v>3</v>
      </c>
      <c r="AB5" s="1"/>
      <c r="AC5" s="161"/>
      <c r="AD5" s="161"/>
      <c r="AE5" s="394" t="str">
        <f t="shared" si="2"/>
        <v>Full Name</v>
      </c>
      <c r="AF5" s="394"/>
      <c r="AG5" s="394"/>
      <c r="AH5" s="161"/>
      <c r="AI5" s="161"/>
      <c r="AJ5" s="1"/>
      <c r="AP5" s="64" t="s">
        <v>182</v>
      </c>
    </row>
    <row r="6" spans="1:42" ht="15.75" customHeight="1" thickTop="1" thickBot="1" x14ac:dyDescent="0.3">
      <c r="A6" s="1"/>
      <c r="B6" s="478" t="s">
        <v>232</v>
      </c>
      <c r="C6" s="467"/>
      <c r="D6" s="432">
        <f>'اختيار المقررات'!AE3</f>
        <v>0</v>
      </c>
      <c r="E6" s="432"/>
      <c r="F6" s="467" t="s">
        <v>233</v>
      </c>
      <c r="G6" s="467"/>
      <c r="H6" s="432">
        <f>'اختيار المقررات'!E4</f>
        <v>0</v>
      </c>
      <c r="I6" s="432"/>
      <c r="J6" s="164" t="s">
        <v>234</v>
      </c>
      <c r="K6" s="431">
        <f>'اختيار المقررات'!Q4</f>
        <v>0</v>
      </c>
      <c r="L6" s="431"/>
      <c r="M6" s="431"/>
      <c r="N6" s="467" t="s">
        <v>235</v>
      </c>
      <c r="O6" s="467"/>
      <c r="P6" s="432">
        <f>'اختيار المقررات'!L4</f>
        <v>0</v>
      </c>
      <c r="Q6" s="432"/>
      <c r="R6" s="433"/>
      <c r="X6" s="1">
        <v>4</v>
      </c>
      <c r="Y6" s="1">
        <f t="shared" si="0"/>
        <v>4</v>
      </c>
      <c r="Z6" s="1" t="str">
        <f>IF(LEN(J3)&lt;2,M3,"")</f>
        <v>Father Name</v>
      </c>
      <c r="AA6" s="1">
        <f t="shared" si="1"/>
        <v>4</v>
      </c>
      <c r="AB6" s="1"/>
      <c r="AC6" s="161"/>
      <c r="AD6" s="161"/>
      <c r="AE6" s="394" t="str">
        <f t="shared" si="2"/>
        <v>Father Name</v>
      </c>
      <c r="AF6" s="394"/>
      <c r="AG6" s="394"/>
      <c r="AH6" s="161"/>
      <c r="AI6" s="161"/>
      <c r="AJ6" s="1"/>
      <c r="AP6" s="64" t="s">
        <v>74</v>
      </c>
    </row>
    <row r="7" spans="1:42" ht="15" customHeight="1" thickTop="1" thickBot="1" x14ac:dyDescent="0.3">
      <c r="A7" s="1"/>
      <c r="B7" s="460" t="s">
        <v>236</v>
      </c>
      <c r="C7" s="435"/>
      <c r="D7" s="468">
        <f>'اختيار المقررات'!W4</f>
        <v>0</v>
      </c>
      <c r="E7" s="469"/>
      <c r="F7" s="435" t="s">
        <v>237</v>
      </c>
      <c r="G7" s="435"/>
      <c r="H7" s="436">
        <f>'اختيار المقررات'!AB4</f>
        <v>0</v>
      </c>
      <c r="I7" s="437"/>
      <c r="J7" s="165" t="s">
        <v>70</v>
      </c>
      <c r="K7" s="469">
        <f>'اختيار المقررات'!AE4</f>
        <v>0</v>
      </c>
      <c r="L7" s="469"/>
      <c r="M7" s="469"/>
      <c r="N7" s="469"/>
      <c r="O7" s="469"/>
      <c r="P7" s="469"/>
      <c r="Q7" s="469"/>
      <c r="R7" s="477"/>
      <c r="X7" s="1">
        <v>5</v>
      </c>
      <c r="Y7" s="1">
        <f t="shared" si="0"/>
        <v>5</v>
      </c>
      <c r="Z7" s="1" t="str">
        <f>IF(LEN(F3)&lt;2,H3,"")</f>
        <v>Mother Name</v>
      </c>
      <c r="AA7" s="1">
        <f t="shared" si="1"/>
        <v>5</v>
      </c>
      <c r="AB7" s="1"/>
      <c r="AC7" s="161"/>
      <c r="AD7" s="161"/>
      <c r="AE7" s="394" t="str">
        <f t="shared" si="2"/>
        <v>Mother Name</v>
      </c>
      <c r="AF7" s="394"/>
      <c r="AG7" s="394"/>
      <c r="AH7" s="161"/>
      <c r="AI7" s="161"/>
      <c r="AJ7" s="1"/>
      <c r="AP7" s="64" t="s">
        <v>8</v>
      </c>
    </row>
    <row r="8" spans="1:42" ht="18" customHeight="1" thickTop="1" thickBot="1" x14ac:dyDescent="0.3">
      <c r="A8" s="1"/>
      <c r="B8" s="461" t="str">
        <f>IF(AC1&lt;&gt;"",AC1,AI2)</f>
        <v>يجب عليك ادخال البيانات المطلوبة أدناه بالمعلومات الصحيحة في صفحة إدخال البيانات لتتمكن من طباعة استمارة المقررات بشكل صحيح</v>
      </c>
      <c r="C8" s="462"/>
      <c r="D8" s="462"/>
      <c r="E8" s="462"/>
      <c r="F8" s="462"/>
      <c r="G8" s="462"/>
      <c r="H8" s="462"/>
      <c r="I8" s="462"/>
      <c r="J8" s="462"/>
      <c r="K8" s="462"/>
      <c r="L8" s="462"/>
      <c r="M8" s="462"/>
      <c r="N8" s="462"/>
      <c r="O8" s="462"/>
      <c r="P8" s="462"/>
      <c r="Q8" s="462"/>
      <c r="R8" s="462"/>
      <c r="X8" s="1">
        <v>6</v>
      </c>
      <c r="Y8" s="1">
        <f>IF(Z8&lt;&gt;"",X8,"")</f>
        <v>6</v>
      </c>
      <c r="Z8" s="1" t="str">
        <f>IF(LEN(D4)&lt;2,B4,"")</f>
        <v>الجنس:</v>
      </c>
      <c r="AA8" s="1">
        <f t="shared" si="1"/>
        <v>6</v>
      </c>
      <c r="AB8" s="1"/>
      <c r="AC8" s="161"/>
      <c r="AD8" s="161"/>
      <c r="AE8" s="394" t="str">
        <f t="shared" si="2"/>
        <v>الجنس:</v>
      </c>
      <c r="AF8" s="394"/>
      <c r="AG8" s="394"/>
      <c r="AH8" s="161"/>
      <c r="AI8" s="161"/>
      <c r="AJ8" s="1"/>
      <c r="AP8" s="1" t="s">
        <v>183</v>
      </c>
    </row>
    <row r="9" spans="1:42" ht="18" customHeight="1" thickTop="1" thickBot="1" x14ac:dyDescent="0.3">
      <c r="A9" s="1"/>
      <c r="B9" s="463"/>
      <c r="C9" s="463"/>
      <c r="D9" s="463"/>
      <c r="E9" s="463"/>
      <c r="F9" s="463"/>
      <c r="G9" s="463"/>
      <c r="H9" s="463"/>
      <c r="I9" s="463"/>
      <c r="J9" s="463"/>
      <c r="K9" s="463"/>
      <c r="L9" s="463"/>
      <c r="M9" s="463"/>
      <c r="N9" s="463"/>
      <c r="O9" s="463"/>
      <c r="P9" s="463"/>
      <c r="Q9" s="463"/>
      <c r="R9" s="463"/>
      <c r="S9" s="46"/>
      <c r="T9" s="46"/>
      <c r="U9" s="46"/>
      <c r="X9" s="1">
        <v>7</v>
      </c>
      <c r="Y9" s="1">
        <f t="shared" si="0"/>
        <v>7</v>
      </c>
      <c r="Z9" s="1" t="str">
        <f>IF(LEN(H4)&lt;2,F4,"")</f>
        <v>تاريخ الميلاد:</v>
      </c>
      <c r="AA9" s="1">
        <f t="shared" si="1"/>
        <v>7</v>
      </c>
      <c r="AB9" s="1"/>
      <c r="AC9" s="161"/>
      <c r="AD9" s="161"/>
      <c r="AE9" s="394" t="str">
        <f t="shared" si="2"/>
        <v>تاريخ الميلاد:</v>
      </c>
      <c r="AF9" s="394"/>
      <c r="AG9" s="394"/>
      <c r="AH9" s="161"/>
      <c r="AI9" s="161"/>
      <c r="AJ9" s="1"/>
      <c r="AP9" s="1" t="s">
        <v>15</v>
      </c>
    </row>
    <row r="10" spans="1:42" ht="16.5" customHeight="1" thickTop="1" thickBot="1" x14ac:dyDescent="0.3"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46"/>
      <c r="T10" s="46"/>
      <c r="U10" s="46"/>
      <c r="X10" s="1">
        <v>8</v>
      </c>
      <c r="Y10" s="1">
        <f t="shared" si="0"/>
        <v>8</v>
      </c>
      <c r="Z10" s="1" t="str">
        <f>IF(LEN(K4)&lt;2,J4,"")</f>
        <v>مكان الميلاد:</v>
      </c>
      <c r="AA10" s="1">
        <f t="shared" si="1"/>
        <v>8</v>
      </c>
      <c r="AB10" s="1"/>
      <c r="AC10" s="161"/>
      <c r="AD10" s="161"/>
      <c r="AE10" s="394" t="str">
        <f t="shared" si="2"/>
        <v>مكان الميلاد:</v>
      </c>
      <c r="AF10" s="394"/>
      <c r="AG10" s="394"/>
      <c r="AH10" s="161"/>
      <c r="AI10" s="161"/>
      <c r="AJ10" s="1"/>
    </row>
    <row r="11" spans="1:42" ht="22.95" customHeight="1" thickTop="1" thickBot="1" x14ac:dyDescent="0.3">
      <c r="B11" s="127"/>
      <c r="C11" s="128" t="s">
        <v>30</v>
      </c>
      <c r="D11" s="464" t="s">
        <v>31</v>
      </c>
      <c r="E11" s="465"/>
      <c r="F11" s="465"/>
      <c r="G11" s="466"/>
      <c r="H11" s="129"/>
      <c r="I11" s="45" t="s">
        <v>9</v>
      </c>
      <c r="J11" s="127"/>
      <c r="K11" s="128" t="s">
        <v>30</v>
      </c>
      <c r="L11" s="464" t="s">
        <v>31</v>
      </c>
      <c r="M11" s="465"/>
      <c r="N11" s="465"/>
      <c r="O11" s="466"/>
      <c r="P11" s="129"/>
      <c r="Q11" s="45" t="s">
        <v>9</v>
      </c>
      <c r="R11" s="130"/>
      <c r="S11" s="46"/>
      <c r="T11" s="46"/>
      <c r="U11" s="47"/>
      <c r="V11" s="125" t="str">
        <f>IFERROR(SMALL('اختيار المقررات'!$AL$8:$AL$56,'اختيار المقررات'!AM8),"")</f>
        <v/>
      </c>
      <c r="X11" s="1">
        <v>9</v>
      </c>
      <c r="Y11" s="1">
        <f t="shared" si="0"/>
        <v>9</v>
      </c>
      <c r="Z11" s="1" t="str">
        <f>IF(LEN(N4)&lt;2,Q4,"")</f>
        <v>place of birth</v>
      </c>
      <c r="AA11" s="1">
        <f t="shared" si="1"/>
        <v>9</v>
      </c>
      <c r="AB11" s="1"/>
      <c r="AC11" s="161"/>
      <c r="AD11" s="161"/>
      <c r="AE11" s="394" t="str">
        <f t="shared" si="2"/>
        <v>place of birth</v>
      </c>
      <c r="AF11" s="394"/>
      <c r="AG11" s="394"/>
      <c r="AH11" s="161"/>
      <c r="AI11" s="161"/>
      <c r="AJ11" s="1"/>
    </row>
    <row r="12" spans="1:42" ht="17.399999999999999" customHeight="1" thickTop="1" thickBot="1" x14ac:dyDescent="0.3">
      <c r="B12" s="131" t="str">
        <f>IF(AJ1&gt;0,"",V11)</f>
        <v/>
      </c>
      <c r="C12" s="132" t="str">
        <f>IFERROR(VLOOKUP(B12,'اختيار المقررات'!AU5:AY55,2,0),"")</f>
        <v/>
      </c>
      <c r="D12" s="434" t="str">
        <f>IFERROR(VLOOKUP(B12,'اختيار المقررات'!AU5:AY55,3,0),"")</f>
        <v/>
      </c>
      <c r="E12" s="434"/>
      <c r="F12" s="434"/>
      <c r="G12" s="434"/>
      <c r="H12" s="133" t="str">
        <f>IFERROR(VLOOKUP(B12,'اختيار المقررات'!AU5:AY55,4,0),"")</f>
        <v/>
      </c>
      <c r="I12" s="124" t="str">
        <f>IFERROR(VLOOKUP(B12,'اختيار المقررات'!AU5:AY55,5,0),"")</f>
        <v/>
      </c>
      <c r="J12" s="131" t="str">
        <f>IF(AJ1&gt;0,"",V19)</f>
        <v/>
      </c>
      <c r="K12" s="132" t="str">
        <f>IFERROR(VLOOKUP(J12,'اختيار المقررات'!AU5:AY55,2,0),"")</f>
        <v/>
      </c>
      <c r="L12" s="434" t="str">
        <f>IFERROR(VLOOKUP(J12,'اختيار المقررات'!AU5:AY55,3,0),"")</f>
        <v/>
      </c>
      <c r="M12" s="434"/>
      <c r="N12" s="434"/>
      <c r="O12" s="434"/>
      <c r="P12" s="133" t="str">
        <f>IFERROR(VLOOKUP(J12,'اختيار المقررات'!AU5:AY55,4,0),"")</f>
        <v/>
      </c>
      <c r="Q12" s="124" t="str">
        <f>IFERROR(VLOOKUP(J12,'اختيار المقررات'!AU5:AY55,5,0),"")</f>
        <v/>
      </c>
      <c r="R12" s="47"/>
      <c r="T12" s="134"/>
      <c r="V12" s="125" t="str">
        <f>IFERROR(SMALL('اختيار المقررات'!$AL$8:$AL$56,'اختيار المقررات'!AM9),"")</f>
        <v/>
      </c>
      <c r="X12" s="1">
        <v>10</v>
      </c>
      <c r="Y12" s="1">
        <f t="shared" si="0"/>
        <v>10</v>
      </c>
      <c r="Z12" s="1" t="str">
        <f>IF(LEN(D5)&lt;2,B5,"")</f>
        <v>الجنسية:</v>
      </c>
      <c r="AA12" s="1">
        <f t="shared" si="1"/>
        <v>10</v>
      </c>
      <c r="AB12" s="1"/>
      <c r="AC12" s="161"/>
      <c r="AD12" s="161"/>
      <c r="AE12" s="394" t="str">
        <f t="shared" si="2"/>
        <v>الجنسية:</v>
      </c>
      <c r="AF12" s="394"/>
      <c r="AG12" s="394"/>
      <c r="AH12" s="161"/>
      <c r="AI12" s="161"/>
      <c r="AJ12" s="1"/>
    </row>
    <row r="13" spans="1:42" ht="17.399999999999999" customHeight="1" thickTop="1" thickBot="1" x14ac:dyDescent="0.3">
      <c r="B13" s="131" t="str">
        <f t="shared" ref="B13:B19" si="3">IF(AJ2&gt;0,"",V12)</f>
        <v/>
      </c>
      <c r="C13" s="132" t="str">
        <f>IFERROR(VLOOKUP(B13,'اختيار المقررات'!AU6:AY56,2,0),"")</f>
        <v/>
      </c>
      <c r="D13" s="434" t="str">
        <f>IFERROR(VLOOKUP(B13,'اختيار المقررات'!AU6:AY56,3,0),"")</f>
        <v/>
      </c>
      <c r="E13" s="434"/>
      <c r="F13" s="434"/>
      <c r="G13" s="434"/>
      <c r="H13" s="133" t="str">
        <f>IFERROR(VLOOKUP(B13,'اختيار المقررات'!AU6:AY56,4,0),"")</f>
        <v/>
      </c>
      <c r="I13" s="124" t="str">
        <f>IFERROR(VLOOKUP(B13,'اختيار المقررات'!AU6:AY56,5,0),"")</f>
        <v/>
      </c>
      <c r="J13" s="131" t="str">
        <f t="shared" ref="J13:J19" si="4">IF(AJ2&gt;0,"",V20)</f>
        <v/>
      </c>
      <c r="K13" s="132" t="str">
        <f>IFERROR(VLOOKUP(J13,'اختيار المقررات'!AU6:AY56,2,0),"")</f>
        <v/>
      </c>
      <c r="L13" s="434" t="str">
        <f>IFERROR(VLOOKUP(J13,'اختيار المقررات'!AU6:AY56,3,0),"")</f>
        <v/>
      </c>
      <c r="M13" s="434"/>
      <c r="N13" s="434"/>
      <c r="O13" s="434"/>
      <c r="P13" s="133" t="str">
        <f>IFERROR(VLOOKUP(J13,'اختيار المقررات'!AU6:AY56,4,0),"")</f>
        <v/>
      </c>
      <c r="Q13" s="124" t="str">
        <f>IFERROR(VLOOKUP(J13,'اختيار المقررات'!AU6:AY56,5,0),"")</f>
        <v/>
      </c>
      <c r="R13" s="47"/>
      <c r="S13" s="134"/>
      <c r="T13" s="134"/>
      <c r="U13" s="135"/>
      <c r="V13" s="125" t="str">
        <f>IFERROR(SMALL('اختيار المقررات'!$AL$8:$AL$56,'اختيار المقررات'!AM10),"")</f>
        <v/>
      </c>
      <c r="X13" s="1">
        <v>11</v>
      </c>
      <c r="Y13" s="1">
        <f t="shared" si="0"/>
        <v>11</v>
      </c>
      <c r="Z13" s="1" t="str">
        <f>IF(LEN(H5)&lt;2,F5,"")</f>
        <v>الرقم الوطني:</v>
      </c>
      <c r="AA13" s="1">
        <f t="shared" si="1"/>
        <v>11</v>
      </c>
      <c r="AB13" s="1"/>
      <c r="AC13" s="161"/>
      <c r="AD13" s="161"/>
      <c r="AE13" s="394" t="str">
        <f t="shared" si="2"/>
        <v>الرقم الوطني:</v>
      </c>
      <c r="AF13" s="394"/>
      <c r="AG13" s="394"/>
      <c r="AH13" s="161"/>
      <c r="AI13" s="161"/>
      <c r="AJ13" s="1"/>
    </row>
    <row r="14" spans="1:42" ht="17.399999999999999" customHeight="1" thickTop="1" thickBot="1" x14ac:dyDescent="0.3">
      <c r="B14" s="131" t="str">
        <f t="shared" si="3"/>
        <v/>
      </c>
      <c r="C14" s="132" t="str">
        <f>IFERROR(VLOOKUP(B14,'اختيار المقررات'!AU7:AY56,2,0),"")</f>
        <v/>
      </c>
      <c r="D14" s="434" t="str">
        <f>IFERROR(VLOOKUP(B14,'اختيار المقررات'!AU7:AY56,3,0),"")</f>
        <v/>
      </c>
      <c r="E14" s="434"/>
      <c r="F14" s="434"/>
      <c r="G14" s="434"/>
      <c r="H14" s="133" t="str">
        <f>IFERROR(VLOOKUP(B14,'اختيار المقررات'!AU7:AY56,4,0),"")</f>
        <v/>
      </c>
      <c r="I14" s="124" t="str">
        <f>IFERROR(VLOOKUP(B14,'اختيار المقررات'!AU7:AY56,5,0),"")</f>
        <v/>
      </c>
      <c r="J14" s="131" t="str">
        <f t="shared" si="4"/>
        <v/>
      </c>
      <c r="K14" s="132" t="str">
        <f>IFERROR(VLOOKUP(J14,'اختيار المقررات'!AU7:AY56,2,0),"")</f>
        <v/>
      </c>
      <c r="L14" s="434" t="str">
        <f>IFERROR(VLOOKUP(J14,'اختيار المقررات'!AU7:AY56,3,0),"")</f>
        <v/>
      </c>
      <c r="M14" s="434"/>
      <c r="N14" s="434"/>
      <c r="O14" s="434"/>
      <c r="P14" s="133" t="str">
        <f>IFERROR(VLOOKUP(J14,'اختيار المقررات'!AU7:AY56,4,0),"")</f>
        <v/>
      </c>
      <c r="Q14" s="124" t="str">
        <f>IFERROR(VLOOKUP(J14,'اختيار المقررات'!AU7:AY56,5,0),"")</f>
        <v/>
      </c>
      <c r="R14" s="47"/>
      <c r="S14" s="134"/>
      <c r="T14" s="134"/>
      <c r="U14" s="135"/>
      <c r="V14" s="125" t="str">
        <f>IFERROR(SMALL('اختيار المقررات'!$AL$8:$AL$56,'اختيار المقررات'!AM11),"")</f>
        <v/>
      </c>
      <c r="X14" s="1">
        <v>12</v>
      </c>
      <c r="Y14" s="1" t="str">
        <f t="shared" si="0"/>
        <v/>
      </c>
      <c r="Z14" s="1" t="str">
        <f>IF(LEN(K5)&lt;2,J5,"")</f>
        <v/>
      </c>
      <c r="AA14" s="1">
        <f t="shared" si="1"/>
        <v>14</v>
      </c>
      <c r="AB14" s="1"/>
      <c r="AC14" s="161"/>
      <c r="AD14" s="161"/>
      <c r="AE14" s="394" t="str">
        <f t="shared" si="2"/>
        <v>شعبة التجنيد:</v>
      </c>
      <c r="AF14" s="394"/>
      <c r="AG14" s="394"/>
      <c r="AH14" s="161"/>
      <c r="AI14" s="161"/>
      <c r="AJ14" s="1"/>
    </row>
    <row r="15" spans="1:42" ht="17.399999999999999" customHeight="1" thickTop="1" thickBot="1" x14ac:dyDescent="0.3">
      <c r="B15" s="131" t="str">
        <f t="shared" si="3"/>
        <v/>
      </c>
      <c r="C15" s="132" t="str">
        <f>IFERROR(VLOOKUP(B15,'اختيار المقررات'!AU8:AY56,2,0),"")</f>
        <v/>
      </c>
      <c r="D15" s="434" t="str">
        <f>IFERROR(VLOOKUP(B15,'اختيار المقررات'!AU8:AY56,3,0),"")</f>
        <v/>
      </c>
      <c r="E15" s="434"/>
      <c r="F15" s="434"/>
      <c r="G15" s="434"/>
      <c r="H15" s="133" t="str">
        <f>IFERROR(VLOOKUP(B15,'اختيار المقررات'!AU8:AY56,4,0),"")</f>
        <v/>
      </c>
      <c r="I15" s="124" t="str">
        <f>IFERROR(VLOOKUP(B15,'اختيار المقررات'!AU8:AY56,5,0),"")</f>
        <v/>
      </c>
      <c r="J15" s="131" t="str">
        <f t="shared" si="4"/>
        <v/>
      </c>
      <c r="K15" s="132" t="str">
        <f>IFERROR(VLOOKUP(J15,'اختيار المقررات'!AU8:AY56,2,0),"")</f>
        <v/>
      </c>
      <c r="L15" s="434" t="str">
        <f>IFERROR(VLOOKUP(J15,'اختيار المقررات'!AU8:AY56,3,0),"")</f>
        <v/>
      </c>
      <c r="M15" s="434"/>
      <c r="N15" s="434"/>
      <c r="O15" s="434"/>
      <c r="P15" s="133" t="str">
        <f>IFERROR(VLOOKUP(J15,'اختيار المقررات'!AU8:AY56,4,0),"")</f>
        <v/>
      </c>
      <c r="Q15" s="124" t="str">
        <f>IFERROR(VLOOKUP(J15,'اختيار المقررات'!AU8:AY56,5,0),"")</f>
        <v/>
      </c>
      <c r="R15" s="47"/>
      <c r="S15" s="134"/>
      <c r="T15" s="134"/>
      <c r="U15" s="135"/>
      <c r="V15" s="125" t="str">
        <f>IFERROR(SMALL('اختيار المقررات'!$AL$8:$AL$56,'اختيار المقررات'!AM12),"")</f>
        <v/>
      </c>
      <c r="X15" s="1">
        <v>13</v>
      </c>
      <c r="Y15" s="1" t="str">
        <f t="shared" si="0"/>
        <v/>
      </c>
      <c r="Z15" s="1" t="str">
        <f>IF(LEN(P5)&lt;2,N5,"")</f>
        <v/>
      </c>
      <c r="AA15" s="1">
        <f t="shared" si="1"/>
        <v>15</v>
      </c>
      <c r="AB15" s="1"/>
      <c r="AC15" s="161"/>
      <c r="AD15" s="161"/>
      <c r="AE15" s="394" t="str">
        <f t="shared" si="2"/>
        <v>نوع الثانوية:</v>
      </c>
      <c r="AF15" s="394"/>
      <c r="AG15" s="394"/>
      <c r="AH15" s="161"/>
      <c r="AI15" s="161"/>
      <c r="AJ15" s="1"/>
    </row>
    <row r="16" spans="1:42" ht="17.399999999999999" customHeight="1" thickTop="1" thickBot="1" x14ac:dyDescent="0.3">
      <c r="B16" s="131" t="str">
        <f t="shared" si="3"/>
        <v/>
      </c>
      <c r="C16" s="132" t="str">
        <f>IFERROR(VLOOKUP(B16,'اختيار المقررات'!AU9:AY56,2,0),"")</f>
        <v/>
      </c>
      <c r="D16" s="434" t="str">
        <f>IFERROR(VLOOKUP(B16,'اختيار المقررات'!AU9:AY56,3,0),"")</f>
        <v/>
      </c>
      <c r="E16" s="434"/>
      <c r="F16" s="434"/>
      <c r="G16" s="434"/>
      <c r="H16" s="133" t="str">
        <f>IFERROR(VLOOKUP(B16,'اختيار المقررات'!AU9:AY56,4,0),"")</f>
        <v/>
      </c>
      <c r="I16" s="124" t="str">
        <f>IFERROR(VLOOKUP(B16,'اختيار المقررات'!AU9:AY56,5,0),"")</f>
        <v/>
      </c>
      <c r="J16" s="131" t="str">
        <f t="shared" si="4"/>
        <v/>
      </c>
      <c r="K16" s="132" t="str">
        <f>IFERROR(VLOOKUP(J16,'اختيار المقررات'!AU9:AY56,2,0),"")</f>
        <v/>
      </c>
      <c r="L16" s="434" t="str">
        <f>IFERROR(VLOOKUP(J16,'اختيار المقررات'!AU9:AY56,3,0),"")</f>
        <v/>
      </c>
      <c r="M16" s="434"/>
      <c r="N16" s="434"/>
      <c r="O16" s="434"/>
      <c r="P16" s="133" t="str">
        <f>IFERROR(VLOOKUP(J16,'اختيار المقررات'!AU9:AY56,4,0),"")</f>
        <v/>
      </c>
      <c r="Q16" s="124" t="str">
        <f>IFERROR(VLOOKUP(J16,'اختيار المقررات'!AU9:AY56,5,0),"")</f>
        <v/>
      </c>
      <c r="R16" s="47"/>
      <c r="S16" s="134"/>
      <c r="T16" s="134"/>
      <c r="U16" s="135"/>
      <c r="V16" s="125" t="str">
        <f>IFERROR(SMALL('اختيار المقررات'!$AL$8:$AL$56,'اختيار المقررات'!AM13),"")</f>
        <v/>
      </c>
      <c r="X16" s="1">
        <v>14</v>
      </c>
      <c r="Y16" s="1">
        <f t="shared" si="0"/>
        <v>14</v>
      </c>
      <c r="Z16" s="1" t="str">
        <f>IF(LEN(D6)&lt;2,B6,"")</f>
        <v>شعبة التجنيد:</v>
      </c>
      <c r="AA16" s="1">
        <f t="shared" si="1"/>
        <v>16</v>
      </c>
      <c r="AB16" s="1"/>
      <c r="AC16" s="161"/>
      <c r="AD16" s="161"/>
      <c r="AE16" s="394" t="str">
        <f t="shared" si="2"/>
        <v>محافظتها:</v>
      </c>
      <c r="AF16" s="394"/>
      <c r="AG16" s="394"/>
      <c r="AH16" s="161"/>
      <c r="AI16" s="161"/>
      <c r="AJ16" s="1"/>
    </row>
    <row r="17" spans="1:36" ht="17.399999999999999" customHeight="1" thickTop="1" thickBot="1" x14ac:dyDescent="0.3">
      <c r="B17" s="131" t="str">
        <f t="shared" si="3"/>
        <v/>
      </c>
      <c r="C17" s="132" t="str">
        <f>IFERROR(VLOOKUP(B17,'اختيار المقررات'!AU10:AY56,2,0),"")</f>
        <v/>
      </c>
      <c r="D17" s="434" t="str">
        <f>IFERROR(VLOOKUP(B17,'اختيار المقررات'!AU10:AY56,3,0),"")</f>
        <v/>
      </c>
      <c r="E17" s="434"/>
      <c r="F17" s="434"/>
      <c r="G17" s="434"/>
      <c r="H17" s="133" t="str">
        <f>IFERROR(VLOOKUP(B17,'اختيار المقررات'!AU10:AY56,4,0),"")</f>
        <v/>
      </c>
      <c r="I17" s="124" t="str">
        <f>IFERROR(VLOOKUP(B17,'اختيار المقررات'!AU10:AY56,5,0),"")</f>
        <v/>
      </c>
      <c r="J17" s="131" t="str">
        <f t="shared" si="4"/>
        <v/>
      </c>
      <c r="K17" s="132" t="str">
        <f>IFERROR(VLOOKUP(J17,'اختيار المقررات'!AU10:AY56,2,0),"")</f>
        <v/>
      </c>
      <c r="L17" s="434" t="str">
        <f>IFERROR(VLOOKUP(J17,'اختيار المقررات'!AU10:AY56,3,0),"")</f>
        <v/>
      </c>
      <c r="M17" s="434"/>
      <c r="N17" s="434"/>
      <c r="O17" s="434"/>
      <c r="P17" s="133" t="str">
        <f>IFERROR(VLOOKUP(J17,'اختيار المقررات'!AU10:AY56,4,0),"")</f>
        <v/>
      </c>
      <c r="Q17" s="124" t="str">
        <f>IFERROR(VLOOKUP(J17,'اختيار المقررات'!AU10:AY56,5,0),"")</f>
        <v/>
      </c>
      <c r="R17" s="47"/>
      <c r="S17" s="134"/>
      <c r="T17" s="134"/>
      <c r="U17" s="135"/>
      <c r="V17" s="125" t="str">
        <f>IFERROR(SMALL('اختيار المقررات'!$AL$8:$AL$56,'اختيار المقررات'!AM14),"")</f>
        <v/>
      </c>
      <c r="X17" s="1">
        <v>15</v>
      </c>
      <c r="Y17" s="1">
        <f t="shared" si="0"/>
        <v>15</v>
      </c>
      <c r="Z17" s="1" t="str">
        <f>IF(LEN(H6)&lt;2,F6,"")</f>
        <v>نوع الثانوية:</v>
      </c>
      <c r="AA17" s="1">
        <f t="shared" si="1"/>
        <v>17</v>
      </c>
      <c r="AB17" s="1"/>
      <c r="AC17" s="161"/>
      <c r="AD17" s="161"/>
      <c r="AE17" s="394" t="str">
        <f t="shared" si="2"/>
        <v>عامها:</v>
      </c>
      <c r="AF17" s="394"/>
      <c r="AG17" s="394"/>
      <c r="AH17" s="161"/>
      <c r="AI17" s="161"/>
      <c r="AJ17" s="1"/>
    </row>
    <row r="18" spans="1:36" ht="17.399999999999999" customHeight="1" thickTop="1" thickBot="1" x14ac:dyDescent="0.3">
      <c r="B18" s="131" t="str">
        <f t="shared" si="3"/>
        <v/>
      </c>
      <c r="C18" s="132" t="str">
        <f>IFERROR(VLOOKUP(B18,'اختيار المقررات'!AU11:AY56,2,0),"")</f>
        <v/>
      </c>
      <c r="D18" s="434" t="str">
        <f>IFERROR(VLOOKUP(B18,'اختيار المقررات'!AU11:AY56,3,0),"")</f>
        <v/>
      </c>
      <c r="E18" s="434"/>
      <c r="F18" s="434"/>
      <c r="G18" s="434"/>
      <c r="H18" s="133" t="str">
        <f>IFERROR(VLOOKUP(B18,'اختيار المقررات'!AU11:AY56,4,0),"")</f>
        <v/>
      </c>
      <c r="I18" s="124" t="str">
        <f>IFERROR(VLOOKUP(B18,'اختيار المقررات'!AU11:AY56,5,0),"")</f>
        <v/>
      </c>
      <c r="J18" s="131" t="str">
        <f t="shared" si="4"/>
        <v/>
      </c>
      <c r="K18" s="132" t="str">
        <f>IFERROR(VLOOKUP(J18,'اختيار المقررات'!AU11:AY56,2,0),"")</f>
        <v/>
      </c>
      <c r="L18" s="434" t="str">
        <f>IFERROR(VLOOKUP(J18,'اختيار المقررات'!AU11:AY56,3,0),"")</f>
        <v/>
      </c>
      <c r="M18" s="434"/>
      <c r="N18" s="434"/>
      <c r="O18" s="434"/>
      <c r="P18" s="133" t="str">
        <f>IFERROR(VLOOKUP(J18,'اختيار المقررات'!AU11:AY56,4,0),"")</f>
        <v/>
      </c>
      <c r="Q18" s="124" t="str">
        <f>IFERROR(VLOOKUP(J18,'اختيار المقررات'!AU11:AY56,5,0),"")</f>
        <v/>
      </c>
      <c r="R18" s="47"/>
      <c r="S18" s="134"/>
      <c r="T18" s="134"/>
      <c r="U18" s="135"/>
      <c r="V18" s="125" t="str">
        <f>IFERROR(SMALL('اختيار المقررات'!$AL$8:$AL$56,'اختيار المقررات'!AM15),"")</f>
        <v/>
      </c>
      <c r="X18" s="1">
        <v>16</v>
      </c>
      <c r="Y18" s="1">
        <f t="shared" si="0"/>
        <v>16</v>
      </c>
      <c r="Z18" s="1" t="str">
        <f>IF(LEN(K6)&lt;2,J6,"")</f>
        <v>محافظتها:</v>
      </c>
      <c r="AA18" s="1">
        <f t="shared" si="1"/>
        <v>18</v>
      </c>
      <c r="AB18" s="1"/>
      <c r="AC18" s="161"/>
      <c r="AD18" s="161"/>
      <c r="AE18" s="394" t="str">
        <f t="shared" si="2"/>
        <v>الموبايل:</v>
      </c>
      <c r="AF18" s="394"/>
      <c r="AG18" s="394"/>
      <c r="AH18" s="161"/>
      <c r="AI18" s="161"/>
      <c r="AJ18" s="1"/>
    </row>
    <row r="19" spans="1:36" ht="17.399999999999999" customHeight="1" thickTop="1" thickBot="1" x14ac:dyDescent="0.3">
      <c r="B19" s="131" t="str">
        <f t="shared" si="3"/>
        <v/>
      </c>
      <c r="C19" s="132" t="str">
        <f>IFERROR(VLOOKUP(B19,'اختيار المقررات'!AU12:AY56,2,0),"")</f>
        <v/>
      </c>
      <c r="D19" s="434" t="str">
        <f>IFERROR(VLOOKUP(B19,'اختيار المقررات'!AU12:AY56,3,0),"")</f>
        <v/>
      </c>
      <c r="E19" s="434"/>
      <c r="F19" s="434"/>
      <c r="G19" s="434"/>
      <c r="H19" s="133" t="str">
        <f>IFERROR(VLOOKUP(B19,'اختيار المقررات'!AU12:AY56,4,0),"")</f>
        <v/>
      </c>
      <c r="I19" s="124" t="str">
        <f>IFERROR(VLOOKUP(B19,'اختيار المقررات'!AU12:AY56,5,0),"")</f>
        <v/>
      </c>
      <c r="J19" s="131" t="str">
        <f t="shared" si="4"/>
        <v/>
      </c>
      <c r="K19" s="132" t="str">
        <f>IFERROR(VLOOKUP(J19,'اختيار المقررات'!AU12:AY56,2,0),"")</f>
        <v/>
      </c>
      <c r="L19" s="434" t="str">
        <f>IFERROR(VLOOKUP(J19,'اختيار المقررات'!AU12:AY56,3,0),"")</f>
        <v/>
      </c>
      <c r="M19" s="434"/>
      <c r="N19" s="434"/>
      <c r="O19" s="434"/>
      <c r="P19" s="133" t="str">
        <f>IFERROR(VLOOKUP(J19,'اختيار المقررات'!AU12:AY56,4,0),"")</f>
        <v/>
      </c>
      <c r="Q19" s="124" t="str">
        <f>IFERROR(VLOOKUP(J19,'اختيار المقررات'!AU12:AY56,5,0),"")</f>
        <v/>
      </c>
      <c r="R19" s="47"/>
      <c r="S19" s="134"/>
      <c r="T19" s="134"/>
      <c r="U19" s="135"/>
      <c r="V19" s="125" t="str">
        <f>IFERROR(SMALL('اختيار المقررات'!$AL$8:$AL$56,'اختيار المقررات'!AM16),"")</f>
        <v/>
      </c>
      <c r="X19" s="1">
        <v>17</v>
      </c>
      <c r="Y19" s="1">
        <f t="shared" si="0"/>
        <v>17</v>
      </c>
      <c r="Z19" s="1" t="str">
        <f>IF(LEN(P6)&lt;2,N6,"")</f>
        <v>عامها:</v>
      </c>
      <c r="AA19" s="1">
        <f t="shared" si="1"/>
        <v>19</v>
      </c>
      <c r="AB19" s="1"/>
      <c r="AC19" s="161"/>
      <c r="AD19" s="161"/>
      <c r="AE19" s="394" t="str">
        <f t="shared" si="2"/>
        <v>الهاتف:</v>
      </c>
      <c r="AF19" s="394"/>
      <c r="AG19" s="394"/>
      <c r="AH19" s="161"/>
      <c r="AI19" s="161"/>
      <c r="AJ19" s="1"/>
    </row>
    <row r="20" spans="1:36" ht="35.4" customHeight="1" thickTop="1" thickBot="1" x14ac:dyDescent="0.3">
      <c r="B20" s="438">
        <f>'إدخال البيانات'!A2</f>
        <v>0</v>
      </c>
      <c r="C20" s="438"/>
      <c r="D20" s="438"/>
      <c r="E20" s="438"/>
      <c r="F20" s="438"/>
      <c r="G20" s="438"/>
      <c r="H20" s="438"/>
      <c r="I20" s="438"/>
      <c r="J20" s="438"/>
      <c r="K20" s="438"/>
      <c r="L20" s="438"/>
      <c r="M20" s="438"/>
      <c r="N20" s="438"/>
      <c r="O20" s="438"/>
      <c r="P20" s="438"/>
      <c r="Q20" s="438"/>
      <c r="R20" s="438"/>
      <c r="S20" s="134"/>
      <c r="T20" s="134"/>
      <c r="U20" s="135"/>
      <c r="V20" s="125" t="str">
        <f>IFERROR(SMALL('اختيار المقررات'!$AL$8:$AL$56,'اختيار المقررات'!AM17),"")</f>
        <v/>
      </c>
      <c r="X20" s="1">
        <v>18</v>
      </c>
      <c r="Y20" s="1">
        <f t="shared" si="0"/>
        <v>18</v>
      </c>
      <c r="Z20" s="1" t="str">
        <f>IF(LEN(D7)&lt;2,B7,"")</f>
        <v>الموبايل:</v>
      </c>
      <c r="AA20" s="1">
        <f t="shared" si="1"/>
        <v>20</v>
      </c>
      <c r="AB20" s="1"/>
      <c r="AC20" s="161"/>
      <c r="AD20" s="161"/>
      <c r="AE20" s="394" t="str">
        <f t="shared" si="2"/>
        <v>العنوان :</v>
      </c>
      <c r="AF20" s="394"/>
      <c r="AG20" s="394"/>
      <c r="AH20" s="161"/>
      <c r="AI20" s="161"/>
      <c r="AJ20" s="1"/>
    </row>
    <row r="21" spans="1:36" ht="22.2" thickTop="1" thickBot="1" x14ac:dyDescent="0.3">
      <c r="A21" s="1"/>
      <c r="B21" s="444" t="s">
        <v>76</v>
      </c>
      <c r="C21" s="430"/>
      <c r="D21" s="430"/>
      <c r="E21" s="430"/>
      <c r="F21" s="166">
        <f>'اختيار المقررات'!V30</f>
        <v>0</v>
      </c>
      <c r="G21" s="430" t="s">
        <v>77</v>
      </c>
      <c r="H21" s="430"/>
      <c r="I21" s="430"/>
      <c r="J21" s="430"/>
      <c r="K21" s="431">
        <f>'اختيار المقررات'!AB30</f>
        <v>0</v>
      </c>
      <c r="L21" s="431"/>
      <c r="M21" s="430" t="s">
        <v>78</v>
      </c>
      <c r="N21" s="430"/>
      <c r="O21" s="430"/>
      <c r="P21" s="430"/>
      <c r="Q21" s="431" t="e">
        <f>'اختيار المقررات'!AF30</f>
        <v>#VALUE!</v>
      </c>
      <c r="R21" s="441"/>
      <c r="S21" s="167"/>
      <c r="T21" s="1"/>
      <c r="V21" s="125" t="str">
        <f>IFERROR(SMALL('اختيار المقررات'!$AL$8:$AL$56,'اختيار المقررات'!AM18),"")</f>
        <v/>
      </c>
      <c r="X21" s="1">
        <v>19</v>
      </c>
      <c r="Y21" s="1">
        <f t="shared" si="0"/>
        <v>19</v>
      </c>
      <c r="Z21" s="1" t="str">
        <f>IF(LEN(H7)&lt;2,F7,"")</f>
        <v>الهاتف:</v>
      </c>
      <c r="AA21" s="1" t="str">
        <f t="shared" si="1"/>
        <v/>
      </c>
      <c r="AB21" s="1"/>
      <c r="AC21" s="161"/>
      <c r="AD21" s="161"/>
      <c r="AE21" s="394" t="str">
        <f t="shared" si="2"/>
        <v/>
      </c>
      <c r="AF21" s="394"/>
      <c r="AG21" s="394"/>
      <c r="AH21" s="161"/>
      <c r="AI21" s="161"/>
      <c r="AJ21" s="1"/>
    </row>
    <row r="22" spans="1:36" ht="14.4" thickTop="1" x14ac:dyDescent="0.25">
      <c r="A22" s="1"/>
      <c r="B22" s="445" t="s">
        <v>71</v>
      </c>
      <c r="C22" s="446"/>
      <c r="D22" s="446"/>
      <c r="E22" s="442">
        <f>'اختيار المقررات'!F5</f>
        <v>0</v>
      </c>
      <c r="F22" s="442"/>
      <c r="G22" s="442"/>
      <c r="H22" s="442"/>
      <c r="I22" s="443"/>
      <c r="J22" s="168" t="s">
        <v>61</v>
      </c>
      <c r="K22" s="432">
        <f>'اختيار المقررات'!Q5</f>
        <v>0</v>
      </c>
      <c r="L22" s="432"/>
      <c r="M22" s="169" t="s">
        <v>0</v>
      </c>
      <c r="N22" s="429">
        <f>'اختيار المقررات'!W5</f>
        <v>0</v>
      </c>
      <c r="O22" s="429"/>
      <c r="P22" s="170"/>
      <c r="Q22" s="170"/>
      <c r="R22" s="170"/>
      <c r="S22" s="1"/>
      <c r="T22" s="1"/>
      <c r="V22" s="125" t="str">
        <f>IFERROR(SMALL('اختيار المقررات'!$AL$8:$AL$56,'اختيار المقررات'!AM19),"")</f>
        <v/>
      </c>
      <c r="X22" s="1">
        <v>20</v>
      </c>
      <c r="Y22" s="1">
        <f t="shared" si="0"/>
        <v>20</v>
      </c>
      <c r="Z22" s="1" t="str">
        <f>IF(LEN(K7)&lt;2,J7,"")</f>
        <v>العنوان :</v>
      </c>
      <c r="AA22" s="1"/>
      <c r="AB22" s="1"/>
      <c r="AC22" s="161"/>
      <c r="AD22" s="161"/>
      <c r="AE22" s="394" t="str">
        <f t="shared" si="2"/>
        <v/>
      </c>
      <c r="AF22" s="394"/>
      <c r="AG22" s="394"/>
      <c r="AH22" s="161"/>
      <c r="AI22" s="161"/>
      <c r="AJ22" s="1"/>
    </row>
    <row r="23" spans="1:36" ht="15.6" customHeight="1" x14ac:dyDescent="0.25">
      <c r="A23" s="1"/>
      <c r="B23" s="404" t="s">
        <v>75</v>
      </c>
      <c r="C23" s="405"/>
      <c r="D23" s="405"/>
      <c r="E23" s="439">
        <f>'اختيار المقررات'!AD27</f>
        <v>12000</v>
      </c>
      <c r="F23" s="439"/>
      <c r="G23" s="440"/>
      <c r="H23" s="408" t="s">
        <v>238</v>
      </c>
      <c r="I23" s="409"/>
      <c r="J23" s="410">
        <f>'اختيار المقررات'!AB5</f>
        <v>0</v>
      </c>
      <c r="K23" s="410"/>
      <c r="L23" s="411"/>
      <c r="M23" s="409" t="s">
        <v>184</v>
      </c>
      <c r="N23" s="409"/>
      <c r="O23" s="409" t="s">
        <v>185</v>
      </c>
      <c r="P23" s="409"/>
      <c r="Q23" s="409" t="s">
        <v>239</v>
      </c>
      <c r="R23" s="413"/>
      <c r="S23" s="1"/>
      <c r="T23" s="1"/>
      <c r="V23" s="125" t="str">
        <f>IFERROR(SMALL('اختيار المقررات'!$AL$8:$AL$56,'اختيار المقررات'!AM20),"")</f>
        <v/>
      </c>
    </row>
    <row r="24" spans="1:36" ht="13.8" x14ac:dyDescent="0.25">
      <c r="A24" s="1"/>
      <c r="B24" s="404" t="s">
        <v>186</v>
      </c>
      <c r="C24" s="405"/>
      <c r="D24" s="405"/>
      <c r="E24" s="406">
        <f>'اختيار المقررات'!W27</f>
        <v>0</v>
      </c>
      <c r="F24" s="406"/>
      <c r="G24" s="407"/>
      <c r="H24" s="415" t="s">
        <v>27</v>
      </c>
      <c r="I24" s="412"/>
      <c r="J24" s="406">
        <f>'اختيار المقررات'!N27</f>
        <v>0</v>
      </c>
      <c r="K24" s="406"/>
      <c r="L24" s="407"/>
      <c r="M24" s="412"/>
      <c r="N24" s="412"/>
      <c r="O24" s="412"/>
      <c r="P24" s="412"/>
      <c r="Q24" s="412"/>
      <c r="R24" s="414"/>
      <c r="S24" s="1"/>
      <c r="T24" s="1"/>
      <c r="V24" s="125" t="str">
        <f>IFERROR(SMALL('اختيار المقررات'!$AL$8:$AL$56,'اختيار المقررات'!AM21),"")</f>
        <v/>
      </c>
    </row>
    <row r="25" spans="1:36" ht="13.8" x14ac:dyDescent="0.25">
      <c r="A25" s="1"/>
      <c r="B25" s="404" t="s">
        <v>180</v>
      </c>
      <c r="C25" s="405"/>
      <c r="D25" s="405"/>
      <c r="E25" s="406">
        <f>'اختيار المقررات'!N28</f>
        <v>0</v>
      </c>
      <c r="F25" s="406"/>
      <c r="G25" s="407"/>
      <c r="H25" s="416" t="s">
        <v>22</v>
      </c>
      <c r="I25" s="417"/>
      <c r="J25" s="171" t="str">
        <f>'اختيار المقررات'!N29</f>
        <v>لا</v>
      </c>
      <c r="K25" s="171"/>
      <c r="L25" s="172"/>
      <c r="M25" s="412"/>
      <c r="N25" s="412"/>
      <c r="O25" s="412"/>
      <c r="P25" s="412"/>
      <c r="Q25" s="412"/>
      <c r="R25" s="414"/>
      <c r="S25" s="1"/>
      <c r="T25" s="1"/>
      <c r="V25" s="125" t="str">
        <f>IFERROR(SMALL('اختيار المقررات'!$AL$8:$AL$56,'اختيار المقررات'!AM22),"")</f>
        <v/>
      </c>
    </row>
    <row r="26" spans="1:36" ht="13.8" x14ac:dyDescent="0.25">
      <c r="A26" s="1"/>
      <c r="B26" s="449" t="s">
        <v>25</v>
      </c>
      <c r="C26" s="450"/>
      <c r="D26" s="450"/>
      <c r="E26" s="451">
        <f>'اختيار المقررات'!W28</f>
        <v>12000</v>
      </c>
      <c r="F26" s="451"/>
      <c r="G26" s="451"/>
      <c r="H26" s="173"/>
      <c r="I26" s="173"/>
      <c r="J26" s="174"/>
      <c r="K26" s="174"/>
      <c r="L26" s="175"/>
      <c r="M26" s="412"/>
      <c r="N26" s="412"/>
      <c r="O26" s="412"/>
      <c r="P26" s="412"/>
      <c r="Q26" s="412"/>
      <c r="R26" s="414"/>
      <c r="S26" s="1"/>
      <c r="T26" s="1"/>
      <c r="V26" s="125" t="str">
        <f>IFERROR(SMALL('اختيار المقررات'!$AL$8:$AL$56,'اختيار المقررات'!AM23),"")</f>
        <v/>
      </c>
    </row>
    <row r="27" spans="1:36" ht="13.8" x14ac:dyDescent="0.25">
      <c r="A27" s="1"/>
      <c r="B27" s="452" t="str">
        <f>'اختيار المقررات'!C27</f>
        <v>فصول الانقطاع</v>
      </c>
      <c r="C27" s="453"/>
      <c r="D27" s="453"/>
      <c r="E27" s="453"/>
      <c r="F27" s="453"/>
      <c r="G27" s="453"/>
      <c r="H27" s="453"/>
      <c r="I27" s="453"/>
      <c r="J27" s="453"/>
      <c r="K27" s="453"/>
      <c r="L27" s="454"/>
      <c r="M27" s="412"/>
      <c r="N27" s="412"/>
      <c r="O27" s="412"/>
      <c r="P27" s="412"/>
      <c r="Q27" s="412"/>
      <c r="R27" s="414"/>
      <c r="S27" s="1"/>
      <c r="T27" s="1"/>
      <c r="V27" s="125" t="str">
        <f>IFERROR(SMALL('اختيار المقررات'!$AL$8:$AL$56,'اختيار المقررات'!AM24),"")</f>
        <v/>
      </c>
    </row>
    <row r="28" spans="1:36" ht="13.8" x14ac:dyDescent="0.25">
      <c r="A28" s="1"/>
      <c r="B28" s="455" t="str">
        <f>'اختيار المقررات'!C28</f>
        <v/>
      </c>
      <c r="C28" s="456"/>
      <c r="D28" s="456"/>
      <c r="E28" s="456"/>
      <c r="F28" s="456"/>
      <c r="G28" s="456" t="str">
        <f>'اختيار المقررات'!C29</f>
        <v/>
      </c>
      <c r="H28" s="456"/>
      <c r="I28" s="456"/>
      <c r="J28" s="456"/>
      <c r="K28" s="456"/>
      <c r="L28" s="457"/>
      <c r="M28" s="412"/>
      <c r="N28" s="412"/>
      <c r="O28" s="412"/>
      <c r="P28" s="412"/>
      <c r="Q28" s="412"/>
      <c r="R28" s="414"/>
      <c r="S28" s="1"/>
      <c r="T28" s="1"/>
      <c r="V28" s="125" t="str">
        <f>IFERROR(SMALL('اختيار المقررات'!$AL$8:$AL$56,'اختيار المقررات'!AM25),"")</f>
        <v/>
      </c>
    </row>
    <row r="29" spans="1:36" ht="13.8" x14ac:dyDescent="0.25">
      <c r="A29" s="1"/>
      <c r="B29" s="455" t="str">
        <f>'اختيار المقررات'!C30</f>
        <v/>
      </c>
      <c r="C29" s="456"/>
      <c r="D29" s="456"/>
      <c r="E29" s="456"/>
      <c r="F29" s="456"/>
      <c r="G29" s="456" t="str">
        <f>'اختيار المقررات'!C31</f>
        <v/>
      </c>
      <c r="H29" s="456"/>
      <c r="I29" s="456"/>
      <c r="J29" s="456"/>
      <c r="K29" s="456"/>
      <c r="L29" s="457"/>
      <c r="M29" s="412"/>
      <c r="N29" s="412"/>
      <c r="O29" s="412"/>
      <c r="P29" s="412"/>
      <c r="Q29" s="412"/>
      <c r="R29" s="414"/>
      <c r="S29" s="1"/>
      <c r="T29" s="1"/>
      <c r="V29" s="125" t="str">
        <f>IFERROR(SMALL('اختيار المقررات'!$AL$8:$AL$56,'اختيار المقررات'!AM26),"")</f>
        <v/>
      </c>
    </row>
    <row r="30" spans="1:36" ht="16.5" customHeight="1" x14ac:dyDescent="0.25">
      <c r="A30" s="1"/>
      <c r="B30" s="398" t="str">
        <f>'اختيار المقررات'!C32</f>
        <v/>
      </c>
      <c r="C30" s="399"/>
      <c r="D30" s="399"/>
      <c r="E30" s="399"/>
      <c r="F30" s="399"/>
      <c r="G30" s="399" t="str">
        <f>'اختيار المقررات'!C33</f>
        <v/>
      </c>
      <c r="H30" s="399"/>
      <c r="I30" s="399"/>
      <c r="J30" s="399"/>
      <c r="K30" s="399"/>
      <c r="L30" s="418"/>
      <c r="M30" s="412"/>
      <c r="N30" s="412"/>
      <c r="O30" s="412"/>
      <c r="P30" s="412"/>
      <c r="Q30" s="412"/>
      <c r="R30" s="414"/>
      <c r="S30" s="1"/>
      <c r="T30" s="1"/>
      <c r="V30" s="125" t="str">
        <f>IFERROR(SMALL('اختيار المقررات'!$AL$8:$AL$56,'اختيار المقررات'!AM27),"")</f>
        <v/>
      </c>
    </row>
    <row r="31" spans="1:36" ht="15" customHeight="1" x14ac:dyDescent="0.25">
      <c r="A31" s="1"/>
      <c r="B31" s="395" t="s">
        <v>240</v>
      </c>
      <c r="C31" s="396"/>
      <c r="D31" s="396"/>
      <c r="E31" s="396"/>
      <c r="F31" s="396"/>
      <c r="G31" s="396"/>
      <c r="H31" s="396"/>
      <c r="I31" s="396"/>
      <c r="J31" s="396"/>
      <c r="K31" s="396"/>
      <c r="L31" s="396"/>
      <c r="M31" s="396"/>
      <c r="N31" s="396"/>
      <c r="O31" s="396"/>
      <c r="P31" s="396"/>
      <c r="Q31" s="396"/>
      <c r="R31" s="397"/>
      <c r="S31" s="1"/>
      <c r="T31" s="1"/>
      <c r="V31" s="125" t="str">
        <f>IFERROR(SMALL('اختيار المقررات'!$AL$8:$AL$56,'اختيار المقررات'!AM28),"")</f>
        <v/>
      </c>
    </row>
    <row r="32" spans="1:36" ht="15" customHeight="1" x14ac:dyDescent="0.25">
      <c r="A32" s="1"/>
      <c r="B32" s="426" t="s">
        <v>259</v>
      </c>
      <c r="C32" s="426"/>
      <c r="D32" s="426"/>
      <c r="E32" s="426"/>
      <c r="F32" s="426"/>
      <c r="G32" s="426"/>
      <c r="H32" s="426"/>
      <c r="I32" s="426"/>
      <c r="J32" s="426"/>
      <c r="K32" s="426"/>
      <c r="L32" s="426"/>
      <c r="M32" s="426"/>
      <c r="N32" s="426"/>
      <c r="O32" s="426"/>
      <c r="P32" s="426"/>
      <c r="Q32" s="426"/>
      <c r="R32" s="426"/>
      <c r="S32" s="1"/>
      <c r="T32" s="1"/>
    </row>
    <row r="33" spans="1:22" ht="16.5" customHeight="1" x14ac:dyDescent="0.25">
      <c r="A33" s="1"/>
      <c r="B33" s="400" t="s">
        <v>33</v>
      </c>
      <c r="C33" s="400"/>
      <c r="D33" s="400"/>
      <c r="E33" s="400"/>
      <c r="F33" s="401">
        <f>'اختيار المقررات'!W29</f>
        <v>12000</v>
      </c>
      <c r="G33" s="401"/>
      <c r="H33" s="402" t="str">
        <f>IF(D4="أنثى","ليرة سورية فقط لا غير من الطالبة","ليرة سورية فقط لا غير من الطالب")&amp;" "&amp;H2</f>
        <v>ليرة سورية فقط لا غير من الطالب 0</v>
      </c>
      <c r="I33" s="402"/>
      <c r="J33" s="402"/>
      <c r="K33" s="402"/>
      <c r="L33" s="402"/>
      <c r="M33" s="402"/>
      <c r="N33" s="402"/>
      <c r="O33" s="402"/>
      <c r="P33" s="402"/>
      <c r="Q33" s="402"/>
      <c r="R33" s="402"/>
      <c r="S33" s="1"/>
      <c r="T33" s="1"/>
      <c r="V33" s="125" t="str">
        <f>IFERROR(SMALL('اختيار المقررات'!$AL$8:$AL$56,'اختيار المقررات'!AM29),"")</f>
        <v/>
      </c>
    </row>
    <row r="34" spans="1:22" ht="24" customHeight="1" x14ac:dyDescent="0.25">
      <c r="A34" s="1"/>
      <c r="B34" s="400" t="str">
        <f>IF(D4="أنثى","رقمها الامتحاني","رقمه الامتحاني")</f>
        <v>رقمه الامتحاني</v>
      </c>
      <c r="C34" s="400"/>
      <c r="D34" s="400"/>
      <c r="E34" s="401">
        <f>D2</f>
        <v>0</v>
      </c>
      <c r="F34" s="401"/>
      <c r="G34" s="403" t="s">
        <v>34</v>
      </c>
      <c r="H34" s="403"/>
      <c r="I34" s="403"/>
      <c r="J34" s="403"/>
      <c r="K34" s="403"/>
      <c r="L34" s="403"/>
      <c r="M34" s="403"/>
      <c r="N34" s="403"/>
      <c r="O34" s="403"/>
      <c r="P34" s="403"/>
      <c r="Q34" s="403"/>
      <c r="R34" s="403"/>
      <c r="S34" s="1"/>
      <c r="T34" s="1"/>
      <c r="V34" s="125" t="str">
        <f>IFERROR(SMALL('اختيار المقررات'!$AL$8:$AL$56,'اختيار المقررات'!AM30),"")</f>
        <v/>
      </c>
    </row>
    <row r="35" spans="1:22" ht="19.2" customHeight="1" x14ac:dyDescent="0.25">
      <c r="A35" s="1"/>
      <c r="B35" s="147"/>
      <c r="C35" s="158"/>
      <c r="D35" s="427"/>
      <c r="E35" s="427"/>
      <c r="F35" s="427"/>
      <c r="G35" s="427"/>
      <c r="H35" s="427"/>
      <c r="I35" s="148"/>
      <c r="J35" s="148"/>
      <c r="K35" s="147"/>
      <c r="L35" s="158"/>
      <c r="M35" s="427"/>
      <c r="N35" s="427"/>
      <c r="O35" s="427"/>
      <c r="P35" s="427"/>
      <c r="Q35" s="148"/>
      <c r="R35" s="148"/>
      <c r="S35" s="1"/>
      <c r="T35" s="1"/>
      <c r="V35" s="125" t="str">
        <f>IFERROR(SMALL('اختيار المقررات'!$AL$8:$AL$56,'اختيار المقررات'!AM31),"")</f>
        <v/>
      </c>
    </row>
    <row r="36" spans="1:22" ht="19.2" customHeight="1" x14ac:dyDescent="0.35">
      <c r="A36" s="1"/>
      <c r="B36" s="428" t="s">
        <v>28</v>
      </c>
      <c r="C36" s="428"/>
      <c r="D36" s="428"/>
      <c r="E36" s="428"/>
      <c r="F36" s="428"/>
      <c r="G36" s="428"/>
      <c r="H36" s="428"/>
      <c r="I36" s="428"/>
      <c r="J36" s="428"/>
      <c r="K36" s="428"/>
      <c r="L36" s="428"/>
      <c r="M36" s="428"/>
      <c r="N36" s="428"/>
      <c r="O36" s="428"/>
      <c r="P36" s="428"/>
      <c r="Q36" s="428"/>
      <c r="R36" s="428"/>
      <c r="S36" s="1"/>
      <c r="T36" s="1"/>
      <c r="V36" s="125" t="str">
        <f>IFERROR(SMALL('اختيار المقررات'!$AL$8:$AL$56,'اختيار المقررات'!AM32),"")</f>
        <v/>
      </c>
    </row>
    <row r="37" spans="1:22" ht="19.2" customHeight="1" x14ac:dyDescent="0.25">
      <c r="A37" s="1"/>
      <c r="B37" s="419" t="s">
        <v>32</v>
      </c>
      <c r="C37" s="419"/>
      <c r="D37" s="419"/>
      <c r="E37" s="419"/>
      <c r="F37" s="419"/>
      <c r="G37" s="419"/>
      <c r="H37" s="419"/>
      <c r="I37" s="419"/>
      <c r="J37" s="419"/>
      <c r="K37" s="419"/>
      <c r="L37" s="419"/>
      <c r="M37" s="419"/>
      <c r="N37" s="419"/>
      <c r="O37" s="419"/>
      <c r="P37" s="419"/>
      <c r="Q37" s="419"/>
      <c r="R37" s="419"/>
      <c r="S37" s="1"/>
      <c r="T37" s="1"/>
      <c r="V37" s="125" t="str">
        <f>IFERROR(SMALL('اختيار المقررات'!$AL$8:$AL$56,'اختيار المقررات'!AM33),"")</f>
        <v/>
      </c>
    </row>
    <row r="38" spans="1:22" ht="19.2" customHeight="1" x14ac:dyDescent="0.25">
      <c r="A38" s="1"/>
      <c r="B38" s="420" t="s">
        <v>33</v>
      </c>
      <c r="C38" s="420"/>
      <c r="D38" s="420"/>
      <c r="E38" s="420"/>
      <c r="F38" s="421">
        <f>'اختيار المقررات'!AD29</f>
        <v>0</v>
      </c>
      <c r="G38" s="421"/>
      <c r="H38" s="422" t="str">
        <f>H33</f>
        <v>ليرة سورية فقط لا غير من الطالب 0</v>
      </c>
      <c r="I38" s="422"/>
      <c r="J38" s="422"/>
      <c r="K38" s="422"/>
      <c r="L38" s="422"/>
      <c r="M38" s="422"/>
      <c r="N38" s="422"/>
      <c r="O38" s="422"/>
      <c r="P38" s="422"/>
      <c r="Q38" s="422"/>
      <c r="R38" s="422"/>
      <c r="S38" s="1"/>
      <c r="T38" s="1"/>
      <c r="V38" s="125" t="str">
        <f>IFERROR(SMALL('اختيار المقررات'!$AL$8:$AL$56,'اختيار المقررات'!AM35),"")</f>
        <v/>
      </c>
    </row>
    <row r="39" spans="1:22" ht="19.2" customHeight="1" x14ac:dyDescent="0.3">
      <c r="A39" s="1"/>
      <c r="B39" s="423" t="str">
        <f>B34</f>
        <v>رقمه الامتحاني</v>
      </c>
      <c r="C39" s="423"/>
      <c r="D39" s="423"/>
      <c r="E39" s="424">
        <f>E34</f>
        <v>0</v>
      </c>
      <c r="F39" s="424"/>
      <c r="G39" s="425" t="str">
        <f>G34</f>
        <v xml:space="preserve">وتحويله إلى حساب التعليم المفتوح رقم ck1-10173186 وتسليم إشعار القبض إلى صاحب العلاقة  </v>
      </c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1"/>
      <c r="T39" s="1"/>
      <c r="V39" s="125" t="str">
        <f>IFERROR(SMALL('اختيار المقررات'!$AL$8:$AL$56,'اختيار المقررات'!AM36),"")</f>
        <v/>
      </c>
    </row>
    <row r="40" spans="1:22" ht="22.5" customHeight="1" x14ac:dyDescent="0.25">
      <c r="A40" s="1"/>
      <c r="B40" s="1"/>
      <c r="C40" s="1"/>
      <c r="D40" s="1"/>
      <c r="E40" s="176"/>
      <c r="F40" s="176"/>
      <c r="G40" s="176"/>
      <c r="H40" s="176"/>
      <c r="I40" s="1"/>
      <c r="J40" s="1"/>
      <c r="K40" s="1"/>
      <c r="L40" s="1"/>
      <c r="M40" s="176"/>
      <c r="N40" s="176"/>
      <c r="O40" s="176"/>
      <c r="P40" s="1"/>
      <c r="Q40" s="1"/>
      <c r="R40" s="1"/>
      <c r="S40" s="1"/>
      <c r="T40" s="1"/>
      <c r="V40" s="125" t="str">
        <f>IFERROR(SMALL('اختيار المقررات'!$AL$8:$AL$56,'اختيار المقررات'!AM37),"")</f>
        <v/>
      </c>
    </row>
    <row r="41" spans="1:22" ht="22.5" customHeight="1" x14ac:dyDescent="0.25">
      <c r="A41" s="1"/>
      <c r="B41" s="1"/>
      <c r="C41" s="1"/>
      <c r="D41" s="1"/>
      <c r="E41" s="1"/>
      <c r="F41" s="176"/>
      <c r="G41" s="176"/>
      <c r="H41" s="176"/>
      <c r="I41" s="176"/>
      <c r="J41" s="1"/>
      <c r="K41" s="1"/>
      <c r="L41" s="1"/>
      <c r="M41" s="1"/>
      <c r="N41" s="176"/>
      <c r="O41" s="176"/>
      <c r="P41" s="176"/>
      <c r="Q41" s="1"/>
      <c r="R41" s="1"/>
      <c r="S41" s="1"/>
      <c r="T41" s="1"/>
      <c r="V41" s="125" t="str">
        <f>IFERROR(SMALL('اختيار المقررات'!$AL$8:$AL$56,'اختيار المقررات'!AM38),"")</f>
        <v/>
      </c>
    </row>
    <row r="42" spans="1:22" ht="17.25" customHeight="1" x14ac:dyDescent="0.25">
      <c r="A42" s="1"/>
      <c r="B42" s="1"/>
      <c r="C42" s="177"/>
      <c r="D42" s="177"/>
      <c r="E42" s="177"/>
      <c r="F42" s="177"/>
      <c r="G42" s="177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"/>
      <c r="V42" s="125" t="str">
        <f>IFERROR(SMALL('اختيار المقررات'!$AL$8:$AL$56,'اختيار المقررات'!AM39),"")</f>
        <v/>
      </c>
    </row>
    <row r="43" spans="1:22" ht="17.25" customHeight="1" x14ac:dyDescent="0.25">
      <c r="A43" s="1"/>
      <c r="B43" s="1"/>
      <c r="C43" s="177"/>
      <c r="D43" s="177"/>
      <c r="E43" s="177"/>
      <c r="F43" s="177"/>
      <c r="G43" s="177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"/>
      <c r="V43" s="125" t="str">
        <f>IFERROR(SMALL('اختيار المقررات'!$AL$8:$AL$56,'اختيار المقررات'!AM40),"")</f>
        <v/>
      </c>
    </row>
    <row r="44" spans="1:22" ht="13.8" x14ac:dyDescent="0.25">
      <c r="A44" s="1"/>
      <c r="B44" s="1"/>
      <c r="C44" s="177"/>
      <c r="D44" s="177"/>
      <c r="E44" s="177"/>
      <c r="F44" s="177"/>
      <c r="G44" s="177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"/>
    </row>
  </sheetData>
  <sheetProtection algorithmName="SHA-512" hashValue="GQcXyfjeKS6liJsP5ThVYL+k0AZOXxK5OZnVqsaOpNzDalfQ6AkaoJ6VFz7NW3A5MNxRlOogZGiTlzBhAnXzhQ==" saltValue="qZx2iRJf56MjfKcI60C6YA==" spinCount="100000" sheet="1" selectLockedCells="1" selectUnlockedCells="1"/>
  <mergeCells count="133">
    <mergeCell ref="B1:E1"/>
    <mergeCell ref="B2:C2"/>
    <mergeCell ref="D2:E2"/>
    <mergeCell ref="F2:G2"/>
    <mergeCell ref="H2:J2"/>
    <mergeCell ref="M2:N2"/>
    <mergeCell ref="K7:R7"/>
    <mergeCell ref="B6:C6"/>
    <mergeCell ref="D6:E6"/>
    <mergeCell ref="F6:G6"/>
    <mergeCell ref="P2:R2"/>
    <mergeCell ref="F3:G3"/>
    <mergeCell ref="H3:I3"/>
    <mergeCell ref="K2:L2"/>
    <mergeCell ref="K4:M4"/>
    <mergeCell ref="D3:E3"/>
    <mergeCell ref="N3:P3"/>
    <mergeCell ref="Q3:R3"/>
    <mergeCell ref="F1:R1"/>
    <mergeCell ref="J3:L3"/>
    <mergeCell ref="N4:P4"/>
    <mergeCell ref="Q4:R4"/>
    <mergeCell ref="D4:E4"/>
    <mergeCell ref="F4:G4"/>
    <mergeCell ref="B26:D26"/>
    <mergeCell ref="E26:G26"/>
    <mergeCell ref="B27:L27"/>
    <mergeCell ref="B28:F28"/>
    <mergeCell ref="G28:L28"/>
    <mergeCell ref="B3:C3"/>
    <mergeCell ref="B29:F29"/>
    <mergeCell ref="G29:L29"/>
    <mergeCell ref="B4:C4"/>
    <mergeCell ref="B7:C7"/>
    <mergeCell ref="B8:R9"/>
    <mergeCell ref="D11:G11"/>
    <mergeCell ref="L11:O11"/>
    <mergeCell ref="D13:G13"/>
    <mergeCell ref="L13:O13"/>
    <mergeCell ref="B5:C5"/>
    <mergeCell ref="D5:E5"/>
    <mergeCell ref="F5:G5"/>
    <mergeCell ref="H5:I5"/>
    <mergeCell ref="K5:M5"/>
    <mergeCell ref="N5:O5"/>
    <mergeCell ref="P5:R5"/>
    <mergeCell ref="N6:O6"/>
    <mergeCell ref="D7:E7"/>
    <mergeCell ref="AE3:AG3"/>
    <mergeCell ref="AE4:AG4"/>
    <mergeCell ref="AE5:AG5"/>
    <mergeCell ref="AE6:AG6"/>
    <mergeCell ref="AE7:AG7"/>
    <mergeCell ref="AE8:AG8"/>
    <mergeCell ref="AE9:AG9"/>
    <mergeCell ref="AE10:AG10"/>
    <mergeCell ref="AC1:AH2"/>
    <mergeCell ref="E23:G23"/>
    <mergeCell ref="E24:G24"/>
    <mergeCell ref="AE11:AG11"/>
    <mergeCell ref="AE12:AG12"/>
    <mergeCell ref="AE13:AG13"/>
    <mergeCell ref="AE14:AG14"/>
    <mergeCell ref="AE15:AG15"/>
    <mergeCell ref="AE16:AG16"/>
    <mergeCell ref="AE17:AG17"/>
    <mergeCell ref="AE18:AG18"/>
    <mergeCell ref="AE19:AG19"/>
    <mergeCell ref="Q21:R21"/>
    <mergeCell ref="E22:I22"/>
    <mergeCell ref="K22:L22"/>
    <mergeCell ref="B21:E21"/>
    <mergeCell ref="N22:O22"/>
    <mergeCell ref="B22:D22"/>
    <mergeCell ref="D12:G12"/>
    <mergeCell ref="L12:O12"/>
    <mergeCell ref="D14:G14"/>
    <mergeCell ref="L14:O14"/>
    <mergeCell ref="D15:G15"/>
    <mergeCell ref="L15:O15"/>
    <mergeCell ref="D16:G16"/>
    <mergeCell ref="H4:I4"/>
    <mergeCell ref="G21:J21"/>
    <mergeCell ref="K21:L21"/>
    <mergeCell ref="H6:I6"/>
    <mergeCell ref="K6:M6"/>
    <mergeCell ref="P6:R6"/>
    <mergeCell ref="D18:G18"/>
    <mergeCell ref="L18:O18"/>
    <mergeCell ref="F7:G7"/>
    <mergeCell ref="H7:I7"/>
    <mergeCell ref="L16:O16"/>
    <mergeCell ref="D17:G17"/>
    <mergeCell ref="L17:O17"/>
    <mergeCell ref="M21:P21"/>
    <mergeCell ref="D19:G19"/>
    <mergeCell ref="L19:O19"/>
    <mergeCell ref="B20:R20"/>
    <mergeCell ref="B37:R37"/>
    <mergeCell ref="B38:E38"/>
    <mergeCell ref="F38:G38"/>
    <mergeCell ref="H38:R38"/>
    <mergeCell ref="B39:D39"/>
    <mergeCell ref="E39:F39"/>
    <mergeCell ref="G39:R39"/>
    <mergeCell ref="B32:R32"/>
    <mergeCell ref="D35:H35"/>
    <mergeCell ref="M35:P35"/>
    <mergeCell ref="B36:R36"/>
    <mergeCell ref="AE20:AG20"/>
    <mergeCell ref="AE21:AG21"/>
    <mergeCell ref="AE22:AG22"/>
    <mergeCell ref="B31:R31"/>
    <mergeCell ref="B30:F30"/>
    <mergeCell ref="B33:E33"/>
    <mergeCell ref="F33:G33"/>
    <mergeCell ref="H33:R33"/>
    <mergeCell ref="B34:D34"/>
    <mergeCell ref="E34:F34"/>
    <mergeCell ref="G34:R34"/>
    <mergeCell ref="B23:D23"/>
    <mergeCell ref="B24:D24"/>
    <mergeCell ref="B25:D25"/>
    <mergeCell ref="E25:G25"/>
    <mergeCell ref="H23:I23"/>
    <mergeCell ref="J23:L23"/>
    <mergeCell ref="M23:N30"/>
    <mergeCell ref="O23:P30"/>
    <mergeCell ref="Q23:R30"/>
    <mergeCell ref="H24:I24"/>
    <mergeCell ref="J24:L24"/>
    <mergeCell ref="H25:I25"/>
    <mergeCell ref="G30:L30"/>
  </mergeCells>
  <conditionalFormatting sqref="B35:R35">
    <cfRule type="expression" dxfId="21" priority="2">
      <formula>#REF!="لا"</formula>
    </cfRule>
  </conditionalFormatting>
  <conditionalFormatting sqref="B36:R37 B38:H38 B39:R39">
    <cfRule type="expression" dxfId="20" priority="3">
      <formula>$K$25="لا"</formula>
    </cfRule>
  </conditionalFormatting>
  <conditionalFormatting sqref="B36:R41">
    <cfRule type="expression" dxfId="19" priority="1">
      <formula>$J$25="لا"</formula>
    </cfRule>
  </conditionalFormatting>
  <conditionalFormatting sqref="C13:I19">
    <cfRule type="expression" dxfId="18" priority="24">
      <formula>$C$13=""</formula>
    </cfRule>
  </conditionalFormatting>
  <conditionalFormatting sqref="C14:I19">
    <cfRule type="expression" dxfId="17" priority="23">
      <formula>$C$14=""</formula>
    </cfRule>
  </conditionalFormatting>
  <conditionalFormatting sqref="C15:I19">
    <cfRule type="expression" dxfId="16" priority="22">
      <formula>$C$15=""</formula>
    </cfRule>
  </conditionalFormatting>
  <conditionalFormatting sqref="C16:I19">
    <cfRule type="expression" dxfId="15" priority="21">
      <formula>$C$16=""</formula>
    </cfRule>
  </conditionalFormatting>
  <conditionalFormatting sqref="C17:I19">
    <cfRule type="expression" dxfId="14" priority="20">
      <formula>$C$17=""</formula>
    </cfRule>
  </conditionalFormatting>
  <conditionalFormatting sqref="C18:I19">
    <cfRule type="expression" dxfId="13" priority="19">
      <formula>$C$18=""</formula>
    </cfRule>
  </conditionalFormatting>
  <conditionalFormatting sqref="C19:I19">
    <cfRule type="expression" dxfId="12" priority="18">
      <formula>$C$19=""</formula>
    </cfRule>
  </conditionalFormatting>
  <conditionalFormatting sqref="C11:Q19">
    <cfRule type="expression" dxfId="11" priority="25">
      <formula>$C$12=""</formula>
    </cfRule>
  </conditionalFormatting>
  <conditionalFormatting sqref="C43:S44">
    <cfRule type="expression" dxfId="10" priority="4">
      <formula>$K$26="لا"</formula>
    </cfRule>
  </conditionalFormatting>
  <conditionalFormatting sqref="K11:Q19">
    <cfRule type="expression" dxfId="9" priority="17">
      <formula>$K$12=""</formula>
    </cfRule>
  </conditionalFormatting>
  <conditionalFormatting sqref="K13:Q19">
    <cfRule type="expression" dxfId="8" priority="16">
      <formula>$K$13=""</formula>
    </cfRule>
  </conditionalFormatting>
  <conditionalFormatting sqref="K14:Q19">
    <cfRule type="expression" dxfId="7" priority="15">
      <formula>$K$14=""</formula>
    </cfRule>
  </conditionalFormatting>
  <conditionalFormatting sqref="K15:Q19">
    <cfRule type="expression" dxfId="6" priority="14">
      <formula>$K$15=""</formula>
    </cfRule>
  </conditionalFormatting>
  <conditionalFormatting sqref="K16:Q19">
    <cfRule type="expression" dxfId="5" priority="13">
      <formula>$K$16=""</formula>
    </cfRule>
  </conditionalFormatting>
  <conditionalFormatting sqref="K17:Q19">
    <cfRule type="expression" dxfId="4" priority="12">
      <formula>$K$17=""</formula>
    </cfRule>
  </conditionalFormatting>
  <conditionalFormatting sqref="K18:Q19">
    <cfRule type="expression" dxfId="3" priority="11">
      <formula>$K$18=""</formula>
    </cfRule>
  </conditionalFormatting>
  <conditionalFormatting sqref="K19:Q19">
    <cfRule type="expression" dxfId="2" priority="10">
      <formula>$K$19=""</formula>
    </cfRule>
  </conditionalFormatting>
  <conditionalFormatting sqref="AC1">
    <cfRule type="expression" dxfId="1" priority="26">
      <formula>$AC$1&lt;&gt;""</formula>
    </cfRule>
  </conditionalFormatting>
  <conditionalFormatting sqref="AE3:AE22">
    <cfRule type="expression" dxfId="0" priority="7">
      <formula>AE3&lt;&gt;""</formula>
    </cfRule>
  </conditionalFormatting>
  <pageMargins left="0.19685039370078741" right="0.19685039370078741" top="0.19685039370078741" bottom="0.19685039370078741" header="0.11811023622047245" footer="0.11811023622047245"/>
  <pageSetup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EK5"/>
  <sheetViews>
    <sheetView rightToLeft="1" workbookViewId="0">
      <selection activeCell="G8" sqref="G8"/>
    </sheetView>
  </sheetViews>
  <sheetFormatPr defaultColWidth="9" defaultRowHeight="13.8" x14ac:dyDescent="0.25"/>
  <cols>
    <col min="1" max="1" width="13.8984375" style="1" customWidth="1"/>
    <col min="2" max="2" width="10.8984375" style="1" bestFit="1" customWidth="1"/>
    <col min="3" max="4" width="9" style="1"/>
    <col min="5" max="5" width="10.09765625" style="1" bestFit="1" customWidth="1"/>
    <col min="6" max="6" width="11.3984375" style="79" bestFit="1" customWidth="1"/>
    <col min="7" max="7" width="11.3984375" style="79" customWidth="1"/>
    <col min="8" max="8" width="13.3984375" style="1" customWidth="1"/>
    <col min="9" max="9" width="9" style="1"/>
    <col min="10" max="10" width="11.3984375" style="1" bestFit="1" customWidth="1"/>
    <col min="11" max="11" width="21.8984375" style="1" customWidth="1"/>
    <col min="12" max="12" width="24.3984375" style="1" customWidth="1"/>
    <col min="13" max="13" width="17.3984375" style="1" customWidth="1"/>
    <col min="14" max="14" width="20.09765625" style="1" customWidth="1"/>
    <col min="15" max="15" width="31.3984375" style="1" customWidth="1"/>
    <col min="16" max="17" width="14.3984375" style="1" customWidth="1"/>
    <col min="18" max="18" width="19.09765625" style="1" customWidth="1"/>
    <col min="19" max="19" width="14.09765625" style="1" customWidth="1"/>
    <col min="20" max="20" width="6.8984375" style="1" bestFit="1" customWidth="1"/>
    <col min="21" max="113" width="4.3984375" style="1" customWidth="1"/>
    <col min="114" max="114" width="9" style="1"/>
    <col min="115" max="115" width="11.3984375" style="1" bestFit="1" customWidth="1"/>
    <col min="116" max="16384" width="9" style="1"/>
  </cols>
  <sheetData>
    <row r="1" spans="1:141" s="52" customFormat="1" ht="36.75" customHeight="1" thickBot="1" x14ac:dyDescent="0.3">
      <c r="A1" s="543"/>
      <c r="B1" s="544">
        <v>9999</v>
      </c>
      <c r="C1" s="536" t="s">
        <v>35</v>
      </c>
      <c r="D1" s="536"/>
      <c r="E1" s="536"/>
      <c r="F1" s="536"/>
      <c r="G1" s="536"/>
      <c r="H1" s="536"/>
      <c r="I1" s="536"/>
      <c r="J1" s="536"/>
      <c r="K1" s="545" t="s">
        <v>16</v>
      </c>
      <c r="L1" s="547" t="s">
        <v>67</v>
      </c>
      <c r="M1" s="532" t="s">
        <v>65</v>
      </c>
      <c r="N1" s="532" t="s">
        <v>66</v>
      </c>
      <c r="O1" s="534" t="s">
        <v>58</v>
      </c>
      <c r="P1" s="536" t="s">
        <v>36</v>
      </c>
      <c r="Q1" s="536"/>
      <c r="R1" s="536"/>
      <c r="S1" s="537" t="s">
        <v>9</v>
      </c>
      <c r="T1" s="530" t="s">
        <v>37</v>
      </c>
      <c r="U1" s="530"/>
      <c r="V1" s="530"/>
      <c r="W1" s="530"/>
      <c r="X1" s="530"/>
      <c r="Y1" s="530"/>
      <c r="Z1" s="530"/>
      <c r="AA1" s="530"/>
      <c r="AB1" s="530"/>
      <c r="AC1" s="530"/>
      <c r="AD1" s="530"/>
      <c r="AE1" s="530"/>
      <c r="AF1" s="530"/>
      <c r="AG1" s="530"/>
      <c r="AH1" s="530"/>
      <c r="AI1" s="530"/>
      <c r="AJ1" s="530"/>
      <c r="AK1" s="530"/>
      <c r="AL1" s="530"/>
      <c r="AM1" s="530"/>
      <c r="AN1" s="530"/>
      <c r="AO1" s="530"/>
      <c r="AP1" s="530"/>
      <c r="AQ1" s="530"/>
      <c r="AR1" s="530"/>
      <c r="AS1" s="530"/>
      <c r="AT1" s="530"/>
      <c r="AU1" s="530"/>
      <c r="AV1" s="530"/>
      <c r="AW1" s="530"/>
      <c r="AX1" s="530"/>
      <c r="AY1" s="530"/>
      <c r="AZ1" s="530"/>
      <c r="BA1" s="530"/>
      <c r="BB1" s="530"/>
      <c r="BC1" s="530"/>
      <c r="BD1" s="530"/>
      <c r="BE1" s="530"/>
      <c r="BF1" s="530"/>
      <c r="BG1" s="530"/>
      <c r="BH1" s="530"/>
      <c r="BI1" s="530"/>
      <c r="BJ1" s="530"/>
      <c r="BK1" s="530"/>
      <c r="BL1" s="530" t="s">
        <v>38</v>
      </c>
      <c r="BM1" s="530"/>
      <c r="BN1" s="530"/>
      <c r="BO1" s="530"/>
      <c r="BP1" s="530"/>
      <c r="BQ1" s="530"/>
      <c r="BR1" s="530"/>
      <c r="BS1" s="530"/>
      <c r="BT1" s="530"/>
      <c r="BU1" s="530"/>
      <c r="BV1" s="530"/>
      <c r="BW1" s="530"/>
      <c r="BX1" s="530"/>
      <c r="BY1" s="530"/>
      <c r="BZ1" s="530"/>
      <c r="CA1" s="530"/>
      <c r="CB1" s="530"/>
      <c r="CC1" s="530"/>
      <c r="CD1" s="530" t="s">
        <v>39</v>
      </c>
      <c r="CE1" s="530"/>
      <c r="CF1" s="530"/>
      <c r="CG1" s="530"/>
      <c r="CH1" s="530"/>
      <c r="CI1" s="530"/>
      <c r="CJ1" s="530"/>
      <c r="CK1" s="530"/>
      <c r="CL1" s="530"/>
      <c r="CM1" s="530"/>
      <c r="CN1" s="530"/>
      <c r="CO1" s="530"/>
      <c r="CP1" s="530"/>
      <c r="CQ1" s="530"/>
      <c r="CR1" s="530"/>
      <c r="CS1" s="530"/>
      <c r="CT1" s="530"/>
      <c r="CU1" s="530"/>
      <c r="CV1" s="530"/>
      <c r="CW1" s="530"/>
      <c r="CX1" s="530"/>
      <c r="CY1" s="530"/>
      <c r="CZ1" s="530"/>
      <c r="DA1" s="530"/>
      <c r="DB1" s="530"/>
      <c r="DC1" s="530"/>
      <c r="DD1" s="530"/>
      <c r="DE1" s="530"/>
      <c r="DF1" s="530"/>
      <c r="DG1" s="530"/>
      <c r="DH1" s="530"/>
      <c r="DI1" s="530"/>
      <c r="DJ1" s="485" t="s">
        <v>1</v>
      </c>
      <c r="DK1" s="486"/>
      <c r="DL1" s="487"/>
      <c r="DM1" s="491"/>
      <c r="DN1" s="493" t="s">
        <v>252</v>
      </c>
      <c r="DO1" s="494"/>
      <c r="DP1" s="494"/>
      <c r="DQ1" s="494"/>
      <c r="DR1" s="494"/>
      <c r="DS1" s="494"/>
      <c r="DT1" s="494"/>
      <c r="DU1" s="494"/>
      <c r="DV1" s="497" t="s">
        <v>40</v>
      </c>
      <c r="DW1" s="498"/>
      <c r="DX1" s="498"/>
      <c r="DY1" s="499"/>
      <c r="DZ1" s="497" t="s">
        <v>253</v>
      </c>
      <c r="EA1" s="498"/>
      <c r="EB1" s="498"/>
      <c r="EC1" s="499"/>
      <c r="ED1" s="512" t="s">
        <v>254</v>
      </c>
      <c r="EE1" s="323"/>
      <c r="EF1" s="323"/>
      <c r="EG1" s="323"/>
      <c r="EH1" s="323"/>
      <c r="EI1" s="323"/>
      <c r="EJ1" s="203"/>
      <c r="EK1" s="152"/>
    </row>
    <row r="2" spans="1:141" s="52" customFormat="1" ht="36.75" customHeight="1" thickBot="1" x14ac:dyDescent="0.3">
      <c r="A2" s="543"/>
      <c r="B2" s="544"/>
      <c r="C2" s="536"/>
      <c r="D2" s="536"/>
      <c r="E2" s="536"/>
      <c r="F2" s="536"/>
      <c r="G2" s="536"/>
      <c r="H2" s="536"/>
      <c r="I2" s="536"/>
      <c r="J2" s="536"/>
      <c r="K2" s="546"/>
      <c r="L2" s="548"/>
      <c r="M2" s="533"/>
      <c r="N2" s="533"/>
      <c r="O2" s="535"/>
      <c r="P2" s="536"/>
      <c r="Q2" s="536"/>
      <c r="R2" s="536"/>
      <c r="S2" s="537"/>
      <c r="T2" s="529" t="s">
        <v>17</v>
      </c>
      <c r="U2" s="529"/>
      <c r="V2" s="529"/>
      <c r="W2" s="529"/>
      <c r="X2" s="529"/>
      <c r="Y2" s="529"/>
      <c r="Z2" s="529"/>
      <c r="AA2" s="529"/>
      <c r="AB2" s="529"/>
      <c r="AC2" s="529"/>
      <c r="AD2" s="529"/>
      <c r="AE2" s="529"/>
      <c r="AF2" s="153"/>
      <c r="AG2" s="153"/>
      <c r="AH2" s="153"/>
      <c r="AI2" s="153"/>
      <c r="AJ2" s="153"/>
      <c r="AK2" s="153"/>
      <c r="AL2" s="153"/>
      <c r="AM2" s="153"/>
      <c r="AN2" s="54"/>
      <c r="AO2" s="54"/>
      <c r="AP2" s="529"/>
      <c r="AQ2" s="529"/>
      <c r="AR2" s="529"/>
      <c r="AS2" s="529"/>
      <c r="AT2" s="529"/>
      <c r="AU2" s="529"/>
      <c r="AV2" s="529"/>
      <c r="AW2" s="529"/>
      <c r="AX2" s="53"/>
      <c r="AY2" s="53"/>
      <c r="AZ2" s="531" t="s">
        <v>20</v>
      </c>
      <c r="BA2" s="531"/>
      <c r="BB2" s="531"/>
      <c r="BC2" s="531"/>
      <c r="BD2" s="531"/>
      <c r="BE2" s="531"/>
      <c r="BF2" s="531"/>
      <c r="BG2" s="531"/>
      <c r="BH2" s="531"/>
      <c r="BI2" s="531"/>
      <c r="BJ2" s="54"/>
      <c r="BK2" s="54"/>
      <c r="BL2" s="529" t="s">
        <v>17</v>
      </c>
      <c r="BM2" s="529"/>
      <c r="BN2" s="529"/>
      <c r="BO2" s="529"/>
      <c r="BP2" s="529"/>
      <c r="BQ2" s="529"/>
      <c r="BR2" s="531" t="s">
        <v>20</v>
      </c>
      <c r="BS2" s="531"/>
      <c r="BT2" s="531"/>
      <c r="BU2" s="531"/>
      <c r="BV2" s="531"/>
      <c r="BW2" s="531"/>
      <c r="BX2" s="531"/>
      <c r="BY2" s="531"/>
      <c r="BZ2" s="531"/>
      <c r="CA2" s="531"/>
      <c r="CB2" s="54"/>
      <c r="CC2" s="54"/>
      <c r="CD2" s="529" t="s">
        <v>17</v>
      </c>
      <c r="CE2" s="529"/>
      <c r="CF2" s="529"/>
      <c r="CG2" s="529"/>
      <c r="CH2" s="529"/>
      <c r="CI2" s="529"/>
      <c r="CJ2" s="529"/>
      <c r="CK2" s="529"/>
      <c r="CL2" s="529"/>
      <c r="CM2" s="529"/>
      <c r="CN2" s="53"/>
      <c r="CO2" s="53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488"/>
      <c r="DK2" s="489"/>
      <c r="DL2" s="490"/>
      <c r="DM2" s="492"/>
      <c r="DN2" s="495"/>
      <c r="DO2" s="496"/>
      <c r="DP2" s="496"/>
      <c r="DQ2" s="496"/>
      <c r="DR2" s="496"/>
      <c r="DS2" s="496"/>
      <c r="DT2" s="496"/>
      <c r="DU2" s="496"/>
      <c r="DV2" s="488"/>
      <c r="DW2" s="489"/>
      <c r="DX2" s="489"/>
      <c r="DY2" s="490"/>
      <c r="DZ2" s="488"/>
      <c r="EA2" s="489"/>
      <c r="EB2" s="489"/>
      <c r="EC2" s="490"/>
      <c r="ED2" s="512"/>
      <c r="EE2" s="323"/>
      <c r="EF2" s="323"/>
      <c r="EG2" s="323"/>
      <c r="EH2" s="323"/>
      <c r="EI2" s="323"/>
      <c r="EJ2" s="203"/>
      <c r="EK2" s="154"/>
    </row>
    <row r="3" spans="1:141" ht="36.75" customHeight="1" thickBot="1" x14ac:dyDescent="0.3">
      <c r="A3" s="55" t="s">
        <v>2</v>
      </c>
      <c r="B3" s="56" t="s">
        <v>41</v>
      </c>
      <c r="C3" s="56" t="s">
        <v>42</v>
      </c>
      <c r="D3" s="56" t="s">
        <v>43</v>
      </c>
      <c r="E3" s="56" t="s">
        <v>6</v>
      </c>
      <c r="F3" s="57" t="s">
        <v>7</v>
      </c>
      <c r="G3" s="57" t="s">
        <v>86</v>
      </c>
      <c r="H3" s="56" t="s">
        <v>54</v>
      </c>
      <c r="I3" s="56" t="s">
        <v>11</v>
      </c>
      <c r="J3" s="56" t="s">
        <v>10</v>
      </c>
      <c r="K3" s="546"/>
      <c r="L3" s="548"/>
      <c r="M3" s="533"/>
      <c r="N3" s="533"/>
      <c r="O3" s="535"/>
      <c r="P3" s="539" t="s">
        <v>29</v>
      </c>
      <c r="Q3" s="539" t="s">
        <v>44</v>
      </c>
      <c r="R3" s="541" t="s">
        <v>14</v>
      </c>
      <c r="S3" s="537"/>
      <c r="T3" s="508">
        <f>'اختيار المقررات'!C8</f>
        <v>103</v>
      </c>
      <c r="U3" s="509"/>
      <c r="V3" s="508">
        <f>'اختيار المقررات'!C9</f>
        <v>104</v>
      </c>
      <c r="W3" s="509"/>
      <c r="X3" s="508">
        <f>'اختيار المقررات'!C10</f>
        <v>105</v>
      </c>
      <c r="Y3" s="509"/>
      <c r="Z3" s="508">
        <f>'اختيار المقررات'!C11</f>
        <v>106</v>
      </c>
      <c r="AA3" s="509"/>
      <c r="AB3" s="508">
        <f>'اختيار المقررات'!C12</f>
        <v>107</v>
      </c>
      <c r="AC3" s="509"/>
      <c r="AD3" s="508">
        <f>'اختيار المقررات'!C13</f>
        <v>108</v>
      </c>
      <c r="AE3" s="509"/>
      <c r="AF3" s="508">
        <f>'اختيار المقررات'!L8</f>
        <v>204</v>
      </c>
      <c r="AG3" s="509"/>
      <c r="AH3" s="508">
        <f>'اختيار المقررات'!L9</f>
        <v>205</v>
      </c>
      <c r="AI3" s="509"/>
      <c r="AJ3" s="508">
        <f>'اختيار المقررات'!L10</f>
        <v>206</v>
      </c>
      <c r="AK3" s="509"/>
      <c r="AL3" s="508">
        <f>'اختيار المقررات'!L11</f>
        <v>207</v>
      </c>
      <c r="AM3" s="509"/>
      <c r="AN3" s="508">
        <f>'اختيار المقررات'!L12</f>
        <v>208</v>
      </c>
      <c r="AO3" s="509"/>
      <c r="AP3" s="508">
        <v>303</v>
      </c>
      <c r="AQ3" s="509"/>
      <c r="AR3" s="508">
        <v>304</v>
      </c>
      <c r="AS3" s="509"/>
      <c r="AT3" s="508">
        <v>305</v>
      </c>
      <c r="AU3" s="509"/>
      <c r="AV3" s="508">
        <v>306</v>
      </c>
      <c r="AW3" s="509"/>
      <c r="AX3" s="508">
        <v>307</v>
      </c>
      <c r="AY3" s="509"/>
      <c r="AZ3" s="508">
        <v>308</v>
      </c>
      <c r="BA3" s="509"/>
      <c r="BB3" s="508">
        <v>309</v>
      </c>
      <c r="BC3" s="509"/>
      <c r="BD3" s="508">
        <v>403</v>
      </c>
      <c r="BE3" s="509"/>
      <c r="BF3" s="508">
        <v>404</v>
      </c>
      <c r="BG3" s="509"/>
      <c r="BH3" s="508">
        <v>405</v>
      </c>
      <c r="BI3" s="509"/>
      <c r="BJ3" s="508">
        <v>406</v>
      </c>
      <c r="BK3" s="509"/>
      <c r="BL3" s="508">
        <v>407</v>
      </c>
      <c r="BM3" s="509"/>
      <c r="BN3" s="508">
        <v>408</v>
      </c>
      <c r="BO3" s="509"/>
      <c r="BP3" s="508">
        <v>409</v>
      </c>
      <c r="BQ3" s="509"/>
      <c r="BR3" s="508">
        <v>504</v>
      </c>
      <c r="BS3" s="509"/>
      <c r="BT3" s="508">
        <v>505</v>
      </c>
      <c r="BU3" s="509"/>
      <c r="BV3" s="508">
        <v>506</v>
      </c>
      <c r="BW3" s="509"/>
      <c r="BX3" s="508">
        <v>507</v>
      </c>
      <c r="BY3" s="509"/>
      <c r="BZ3" s="508">
        <v>508</v>
      </c>
      <c r="CA3" s="509"/>
      <c r="CB3" s="508">
        <v>509</v>
      </c>
      <c r="CC3" s="509"/>
      <c r="CD3" s="508">
        <v>604</v>
      </c>
      <c r="CE3" s="509"/>
      <c r="CF3" s="508">
        <v>605</v>
      </c>
      <c r="CG3" s="509"/>
      <c r="CH3" s="508">
        <v>606</v>
      </c>
      <c r="CI3" s="509"/>
      <c r="CJ3" s="508">
        <v>607</v>
      </c>
      <c r="CK3" s="509"/>
      <c r="CL3" s="508">
        <v>608</v>
      </c>
      <c r="CM3" s="509"/>
      <c r="CN3" s="508">
        <v>609</v>
      </c>
      <c r="CO3" s="509"/>
      <c r="CP3" s="508">
        <v>704</v>
      </c>
      <c r="CQ3" s="509"/>
      <c r="CR3" s="508">
        <v>705</v>
      </c>
      <c r="CS3" s="509"/>
      <c r="CT3" s="508">
        <v>706</v>
      </c>
      <c r="CU3" s="509"/>
      <c r="CV3" s="508">
        <v>707</v>
      </c>
      <c r="CW3" s="509"/>
      <c r="CX3" s="508">
        <v>708</v>
      </c>
      <c r="CY3" s="509"/>
      <c r="CZ3" s="508">
        <v>804</v>
      </c>
      <c r="DA3" s="509"/>
      <c r="DB3" s="508">
        <v>805</v>
      </c>
      <c r="DC3" s="509"/>
      <c r="DD3" s="508">
        <v>806</v>
      </c>
      <c r="DE3" s="509"/>
      <c r="DF3" s="508">
        <v>807</v>
      </c>
      <c r="DG3" s="509"/>
      <c r="DH3" s="508">
        <v>808</v>
      </c>
      <c r="DI3" s="509"/>
      <c r="DJ3" s="515" t="s">
        <v>45</v>
      </c>
      <c r="DK3" s="517" t="s">
        <v>0</v>
      </c>
      <c r="DL3" s="519" t="s">
        <v>46</v>
      </c>
      <c r="DM3" s="521" t="s">
        <v>71</v>
      </c>
      <c r="DN3" s="523" t="s">
        <v>255</v>
      </c>
      <c r="DO3" s="524" t="s">
        <v>79</v>
      </c>
      <c r="DP3" s="502" t="s">
        <v>27</v>
      </c>
      <c r="DQ3" s="502" t="s">
        <v>180</v>
      </c>
      <c r="DR3" s="502" t="s">
        <v>25</v>
      </c>
      <c r="DS3" s="502" t="s">
        <v>48</v>
      </c>
      <c r="DT3" s="503" t="s">
        <v>26</v>
      </c>
      <c r="DU3" s="503" t="s">
        <v>28</v>
      </c>
      <c r="DV3" s="504" t="s">
        <v>49</v>
      </c>
      <c r="DW3" s="506" t="s">
        <v>80</v>
      </c>
      <c r="DX3" s="506" t="s">
        <v>81</v>
      </c>
      <c r="DY3" s="525" t="s">
        <v>50</v>
      </c>
      <c r="DZ3" s="527" t="s">
        <v>85</v>
      </c>
      <c r="EA3" s="500" t="s">
        <v>84</v>
      </c>
      <c r="EB3" s="500" t="s">
        <v>83</v>
      </c>
      <c r="EC3" s="510" t="s">
        <v>82</v>
      </c>
      <c r="ED3" s="512"/>
      <c r="EE3" s="323"/>
      <c r="EF3" s="323"/>
      <c r="EG3" s="323"/>
      <c r="EH3" s="323"/>
      <c r="EI3" s="323"/>
      <c r="EJ3" s="203"/>
      <c r="EK3" s="179"/>
    </row>
    <row r="4" spans="1:141" s="64" customFormat="1" ht="36.75" customHeight="1" thickBot="1" x14ac:dyDescent="0.3">
      <c r="A4" s="59" t="s">
        <v>2</v>
      </c>
      <c r="B4" s="60" t="s">
        <v>41</v>
      </c>
      <c r="C4" s="60" t="s">
        <v>42</v>
      </c>
      <c r="D4" s="60" t="s">
        <v>43</v>
      </c>
      <c r="E4" s="60" t="s">
        <v>6</v>
      </c>
      <c r="F4" s="61" t="s">
        <v>7</v>
      </c>
      <c r="G4" s="61"/>
      <c r="H4" s="60"/>
      <c r="I4" s="60" t="s">
        <v>11</v>
      </c>
      <c r="J4" s="60" t="s">
        <v>10</v>
      </c>
      <c r="K4" s="546"/>
      <c r="L4" s="549"/>
      <c r="M4" s="533"/>
      <c r="N4" s="533"/>
      <c r="O4" s="535"/>
      <c r="P4" s="540"/>
      <c r="Q4" s="540"/>
      <c r="R4" s="542"/>
      <c r="S4" s="538"/>
      <c r="T4" s="62" t="s">
        <v>18</v>
      </c>
      <c r="U4" s="63" t="s">
        <v>19</v>
      </c>
      <c r="V4" s="62" t="s">
        <v>18</v>
      </c>
      <c r="W4" s="63" t="s">
        <v>19</v>
      </c>
      <c r="X4" s="62" t="s">
        <v>18</v>
      </c>
      <c r="Y4" s="63" t="s">
        <v>19</v>
      </c>
      <c r="Z4" s="62" t="s">
        <v>18</v>
      </c>
      <c r="AA4" s="63" t="s">
        <v>19</v>
      </c>
      <c r="AB4" s="62" t="s">
        <v>18</v>
      </c>
      <c r="AC4" s="63" t="s">
        <v>19</v>
      </c>
      <c r="AD4" s="62" t="s">
        <v>18</v>
      </c>
      <c r="AE4" s="63" t="s">
        <v>19</v>
      </c>
      <c r="AF4" s="62" t="s">
        <v>18</v>
      </c>
      <c r="AG4" s="63" t="s">
        <v>19</v>
      </c>
      <c r="AH4" s="62" t="s">
        <v>18</v>
      </c>
      <c r="AI4" s="63" t="s">
        <v>19</v>
      </c>
      <c r="AJ4" s="62" t="s">
        <v>18</v>
      </c>
      <c r="AK4" s="63" t="s">
        <v>19</v>
      </c>
      <c r="AL4" s="62" t="s">
        <v>18</v>
      </c>
      <c r="AM4" s="63" t="s">
        <v>19</v>
      </c>
      <c r="AN4" s="62" t="s">
        <v>18</v>
      </c>
      <c r="AO4" s="63" t="s">
        <v>19</v>
      </c>
      <c r="AP4" s="62" t="s">
        <v>18</v>
      </c>
      <c r="AQ4" s="63" t="s">
        <v>19</v>
      </c>
      <c r="AR4" s="62" t="s">
        <v>18</v>
      </c>
      <c r="AS4" s="63" t="s">
        <v>19</v>
      </c>
      <c r="AT4" s="62" t="s">
        <v>18</v>
      </c>
      <c r="AU4" s="63" t="s">
        <v>19</v>
      </c>
      <c r="AV4" s="62" t="s">
        <v>18</v>
      </c>
      <c r="AW4" s="63" t="s">
        <v>19</v>
      </c>
      <c r="AX4" s="62" t="s">
        <v>18</v>
      </c>
      <c r="AY4" s="63" t="s">
        <v>19</v>
      </c>
      <c r="AZ4" s="62" t="s">
        <v>18</v>
      </c>
      <c r="BA4" s="63" t="s">
        <v>19</v>
      </c>
      <c r="BB4" s="62" t="s">
        <v>18</v>
      </c>
      <c r="BC4" s="63" t="s">
        <v>19</v>
      </c>
      <c r="BD4" s="62" t="s">
        <v>18</v>
      </c>
      <c r="BE4" s="63" t="s">
        <v>19</v>
      </c>
      <c r="BF4" s="62" t="s">
        <v>18</v>
      </c>
      <c r="BG4" s="63" t="s">
        <v>19</v>
      </c>
      <c r="BH4" s="62" t="s">
        <v>18</v>
      </c>
      <c r="BI4" s="63" t="s">
        <v>19</v>
      </c>
      <c r="BJ4" s="62" t="s">
        <v>18</v>
      </c>
      <c r="BK4" s="63" t="s">
        <v>19</v>
      </c>
      <c r="BL4" s="62" t="s">
        <v>18</v>
      </c>
      <c r="BM4" s="63" t="s">
        <v>19</v>
      </c>
      <c r="BN4" s="62" t="s">
        <v>18</v>
      </c>
      <c r="BO4" s="63" t="s">
        <v>19</v>
      </c>
      <c r="BP4" s="62" t="s">
        <v>18</v>
      </c>
      <c r="BQ4" s="63" t="s">
        <v>19</v>
      </c>
      <c r="BR4" s="62" t="s">
        <v>18</v>
      </c>
      <c r="BS4" s="63" t="s">
        <v>19</v>
      </c>
      <c r="BT4" s="62" t="s">
        <v>18</v>
      </c>
      <c r="BU4" s="63" t="s">
        <v>19</v>
      </c>
      <c r="BV4" s="62" t="s">
        <v>18</v>
      </c>
      <c r="BW4" s="63" t="s">
        <v>19</v>
      </c>
      <c r="BX4" s="62" t="s">
        <v>18</v>
      </c>
      <c r="BY4" s="63" t="s">
        <v>19</v>
      </c>
      <c r="BZ4" s="62" t="s">
        <v>18</v>
      </c>
      <c r="CA4" s="63" t="s">
        <v>19</v>
      </c>
      <c r="CB4" s="62" t="s">
        <v>18</v>
      </c>
      <c r="CC4" s="63" t="s">
        <v>19</v>
      </c>
      <c r="CD4" s="62" t="s">
        <v>18</v>
      </c>
      <c r="CE4" s="63" t="s">
        <v>19</v>
      </c>
      <c r="CF4" s="62" t="s">
        <v>18</v>
      </c>
      <c r="CG4" s="63" t="s">
        <v>19</v>
      </c>
      <c r="CH4" s="62" t="s">
        <v>18</v>
      </c>
      <c r="CI4" s="63" t="s">
        <v>19</v>
      </c>
      <c r="CJ4" s="62" t="s">
        <v>18</v>
      </c>
      <c r="CK4" s="63" t="s">
        <v>19</v>
      </c>
      <c r="CL4" s="62" t="s">
        <v>18</v>
      </c>
      <c r="CM4" s="63" t="s">
        <v>19</v>
      </c>
      <c r="CN4" s="62" t="s">
        <v>18</v>
      </c>
      <c r="CO4" s="63" t="s">
        <v>19</v>
      </c>
      <c r="CP4" s="62"/>
      <c r="CQ4" s="63"/>
      <c r="CR4" s="62"/>
      <c r="CS4" s="63"/>
      <c r="CT4" s="62"/>
      <c r="CU4" s="63"/>
      <c r="CV4" s="62"/>
      <c r="CW4" s="63"/>
      <c r="CX4" s="62"/>
      <c r="CY4" s="63"/>
      <c r="CZ4" s="62"/>
      <c r="DA4" s="63"/>
      <c r="DB4" s="62"/>
      <c r="DC4" s="63"/>
      <c r="DD4" s="62"/>
      <c r="DE4" s="63"/>
      <c r="DF4" s="62"/>
      <c r="DG4" s="63"/>
      <c r="DH4" s="62"/>
      <c r="DI4" s="63"/>
      <c r="DJ4" s="516"/>
      <c r="DK4" s="518"/>
      <c r="DL4" s="520"/>
      <c r="DM4" s="522"/>
      <c r="DN4" s="523"/>
      <c r="DO4" s="524"/>
      <c r="DP4" s="502"/>
      <c r="DQ4" s="502"/>
      <c r="DR4" s="502"/>
      <c r="DS4" s="502"/>
      <c r="DT4" s="503"/>
      <c r="DU4" s="503"/>
      <c r="DV4" s="505"/>
      <c r="DW4" s="507"/>
      <c r="DX4" s="507"/>
      <c r="DY4" s="526"/>
      <c r="DZ4" s="528"/>
      <c r="EA4" s="501"/>
      <c r="EB4" s="501"/>
      <c r="EC4" s="511"/>
      <c r="ED4" s="513"/>
      <c r="EE4" s="514"/>
      <c r="EF4" s="514"/>
      <c r="EG4" s="514"/>
      <c r="EH4" s="514"/>
      <c r="EI4" s="514"/>
      <c r="EJ4" s="203"/>
      <c r="EK4" s="180"/>
    </row>
    <row r="5" spans="1:141" s="29" customFormat="1" ht="36.75" customHeight="1" x14ac:dyDescent="0.65">
      <c r="A5" s="65">
        <f>'اختيار المقررات'!E1</f>
        <v>0</v>
      </c>
      <c r="B5" s="66">
        <f>'اختيار المقررات'!L1</f>
        <v>0</v>
      </c>
      <c r="C5" s="66">
        <f>'اختيار المقررات'!Q1</f>
        <v>0</v>
      </c>
      <c r="D5" s="66">
        <f>'اختيار المقررات'!W1</f>
        <v>0</v>
      </c>
      <c r="E5" s="66">
        <f>'اختيار المقررات'!AE1</f>
        <v>0</v>
      </c>
      <c r="F5" s="67">
        <f>'اختيار المقررات'!AB1</f>
        <v>0</v>
      </c>
      <c r="G5" s="67" t="str">
        <f>'اختيار المقررات'!AB3</f>
        <v>غير سوري</v>
      </c>
      <c r="H5" s="83">
        <f>'اختيار المقررات'!Q3</f>
        <v>0</v>
      </c>
      <c r="I5" s="66">
        <f>'اختيار المقررات'!E3</f>
        <v>0</v>
      </c>
      <c r="J5" s="68">
        <f>'اختيار المقررات'!L3</f>
        <v>0</v>
      </c>
      <c r="K5" s="69" t="str">
        <f>'اختيار المقررات'!W3</f>
        <v>غير سوري</v>
      </c>
      <c r="L5" s="70">
        <f>'اختيار المقررات'!AE3</f>
        <v>0</v>
      </c>
      <c r="M5" s="84">
        <f>'اختيار المقررات'!W4</f>
        <v>0</v>
      </c>
      <c r="N5" s="84">
        <f>'اختيار المقررات'!AB4</f>
        <v>0</v>
      </c>
      <c r="O5" s="71">
        <f>'اختيار المقررات'!AE4</f>
        <v>0</v>
      </c>
      <c r="P5" s="72">
        <f>'اختيار المقررات'!E4</f>
        <v>0</v>
      </c>
      <c r="Q5" s="73">
        <f>'اختيار المقررات'!L4</f>
        <v>0</v>
      </c>
      <c r="R5" s="74">
        <f>'اختيار المقررات'!Q4</f>
        <v>0</v>
      </c>
      <c r="S5" s="75">
        <f>'اختيار المقررات'!E2</f>
        <v>0</v>
      </c>
      <c r="T5" s="76" t="str">
        <f>IFERROR(IF(OR(T3=الإستمارة!$C$12,T3=الإستمارة!$C$13,T3=الإستمارة!$C$14,T3=الإستمارة!$C$15,T3=الإستمارة!$C$16,T3=الإستمارة!$C$17,T3=الإستمارة!$C$18,T3=الإستمارة!$C$19),VLOOKUP(T3,الإستمارة!$C$12:$H$19,6,0),VLOOKUP(T3,الإستمارة!$L$12:$P$19,6,0)),"")</f>
        <v/>
      </c>
      <c r="U5" s="77" t="e">
        <f>IF(VLOOKUP($A$5,#REF!,MATCH(T3,#REF!,0),0)="","",VLOOKUP($A$5,#REF!,MATCH(T3,#REF!,0),0))</f>
        <v>#REF!</v>
      </c>
      <c r="V5" s="76" t="str">
        <f>IFERROR(IF(OR(V3=الإستمارة!$C$12,V3=الإستمارة!$C$13,V3=الإستمارة!$C$14,V3=الإستمارة!$C$15,V3=الإستمارة!$C$16,V3=الإستمارة!$C$17,V3=الإستمارة!$C$18,V3=الإستمارة!$C$19),VLOOKUP(V3,الإستمارة!$C$12:$H$19,6,0),VLOOKUP(V3,الإستمارة!$K$12:$P$19,6,0)),"")</f>
        <v/>
      </c>
      <c r="W5" s="77" t="e">
        <f>IF(VLOOKUP($A$5,#REF!,MATCH(V3,#REF!,0),0)="","",VLOOKUP($A$5,#REF!,MATCH(V3,#REF!,0),0))</f>
        <v>#REF!</v>
      </c>
      <c r="X5" s="76" t="str">
        <f>IFERROR(IF(OR(X3=الإستمارة!$C$12,X3=الإستمارة!$C$13,X3=الإستمارة!$C$14,X3=الإستمارة!$C$15,X3=الإستمارة!$C$16,X3=الإستمارة!$C$17,X3=الإستمارة!$C$18,X3=الإستمارة!$C$19),VLOOKUP(X3,الإستمارة!$C$12:$H$19,6,0),VLOOKUP(X3,الإستمارة!$K$12:$P$19,6,0)),"")</f>
        <v/>
      </c>
      <c r="Y5" s="77" t="e">
        <f>IF(VLOOKUP($A$5,#REF!,MATCH(X3,#REF!,0),0)="","",VLOOKUP($A$5,#REF!,MATCH(X3,#REF!,0),0))</f>
        <v>#REF!</v>
      </c>
      <c r="Z5" s="76" t="str">
        <f>IFERROR(IF(OR(Z3=الإستمارة!$C$12,Z3=الإستمارة!$C$13,Z3=الإستمارة!$C$14,Z3=الإستمارة!$C$15,Z3=الإستمارة!$C$16,Z3=الإستمارة!$C$17,Z3=الإستمارة!$C$18,Z3=الإستمارة!$C$19),VLOOKUP(Z3,الإستمارة!$C$12:$H$19,6,0),VLOOKUP(Z3,الإستمارة!$K$12:$P$19,6,0)),"")</f>
        <v/>
      </c>
      <c r="AA5" s="77" t="e">
        <f>IF(VLOOKUP($A$5,#REF!,MATCH(Z3,#REF!,0),0)="","",VLOOKUP($A$5,#REF!,MATCH(Z3,#REF!,0),0))</f>
        <v>#REF!</v>
      </c>
      <c r="AB5" s="76" t="str">
        <f>IFERROR(IF(OR(AB3=الإستمارة!$C$12,AB3=الإستمارة!$C$13,AB3=الإستمارة!$C$14,AB3=الإستمارة!$C$15,AB3=الإستمارة!$C$16,AB3=الإستمارة!$C$17,AB3=الإستمارة!$C$18,AB3=الإستمارة!$C$19),VLOOKUP(AB3,الإستمارة!$C$12:$H$19,6,0),VLOOKUP(AB3,الإستمارة!$K$12:$P$19,6,0)),"")</f>
        <v/>
      </c>
      <c r="AC5" s="77" t="e">
        <f>IF(VLOOKUP($A$5,#REF!,MATCH(AB3,#REF!,0),0)="","",VLOOKUP($A$5,#REF!,MATCH(AB3,#REF!,0),0))</f>
        <v>#REF!</v>
      </c>
      <c r="AD5" s="76" t="str">
        <f>IFERROR(IF(OR(AD3=الإستمارة!$C$12,AD3=الإستمارة!$C$13,AD3=الإستمارة!$C$14,AD3=الإستمارة!$C$15,AD3=الإستمارة!$C$16,AD3=الإستمارة!$C$17,AD3=الإستمارة!$C$18,AD3=الإستمارة!$C$19),VLOOKUP(AD3,الإستمارة!$C$12:$H$19,6,0),VLOOKUP(AD3,الإستمارة!$K$12:$P$19,6,0)),"")</f>
        <v/>
      </c>
      <c r="AE5" s="77" t="e">
        <f>IF(VLOOKUP($A$5,#REF!,MATCH(AD3,#REF!,0),0)="","",VLOOKUP($A$5,#REF!,MATCH(AD3,#REF!,0),0))</f>
        <v>#REF!</v>
      </c>
      <c r="AF5" s="76" t="str">
        <f>IFERROR(IF(OR(AF3=الإستمارة!$C$12,AF3=الإستمارة!$C$13,AF3=الإستمارة!$C$14,AF3=الإستمارة!$C$15,AF3=الإستمارة!$C$16,AF3=الإستمارة!$C$17,AF3=الإستمارة!$C$18,AF3=الإستمارة!$C$19),VLOOKUP(AF3,الإستمارة!$C$12:$H$19,6,0),VLOOKUP(AF3,الإستمارة!$K$12:$P$19,6,0)),"")</f>
        <v/>
      </c>
      <c r="AG5" s="77" t="e">
        <f>IF(VLOOKUP($A$5,#REF!,MATCH(AF3,#REF!,0),0)="","",VLOOKUP($A$5,#REF!,MATCH(AF3,#REF!,0),0))</f>
        <v>#REF!</v>
      </c>
      <c r="AH5" s="76" t="str">
        <f>IFERROR(IF(OR(AH3=الإستمارة!$C$12,AH3=الإستمارة!$C$13,AH3=الإستمارة!$C$14,AH3=الإستمارة!$C$15,AH3=الإستمارة!$C$16,AH3=الإستمارة!$C$17,AH3=الإستمارة!$C$18,AH3=الإستمارة!$C$19),VLOOKUP(AH3,الإستمارة!$C$12:$H$19,6,0),VLOOKUP(AH3,الإستمارة!$K$12:$P$19,6,0)),"")</f>
        <v/>
      </c>
      <c r="AI5" s="77" t="e">
        <f>IF(VLOOKUP($A$5,#REF!,MATCH(AH3,#REF!,0),0)="","",VLOOKUP($A$5,#REF!,MATCH(AH3,#REF!,0),0))</f>
        <v>#REF!</v>
      </c>
      <c r="AJ5" s="76" t="str">
        <f>IFERROR(IF(OR(AJ3=الإستمارة!$C$12,AJ3=الإستمارة!$C$13,AJ3=الإستمارة!$C$14,AJ3=الإستمارة!$C$15,AJ3=الإستمارة!$C$16,AJ3=الإستمارة!$C$17,AJ3=الإستمارة!$C$18,AJ3=الإستمارة!$C$19),VLOOKUP(AJ3,الإستمارة!$C$12:$H$19,6,0),VLOOKUP(AJ3,الإستمارة!$K$12:$P$19,6,0)),"")</f>
        <v/>
      </c>
      <c r="AK5" s="77" t="e">
        <f>IF(VLOOKUP($A$5,#REF!,MATCH(AJ3,#REF!,0),0)="","",VLOOKUP($A$5,#REF!,MATCH(AJ3,#REF!,0),0))</f>
        <v>#REF!</v>
      </c>
      <c r="AL5" s="76" t="str">
        <f>IFERROR(IF(OR(AL3=الإستمارة!$C$12,AL3=الإستمارة!$C$13,AL3=الإستمارة!$C$14,AL3=الإستمارة!$C$15,AL3=الإستمارة!$C$16,AL3=الإستمارة!$C$17,AL3=الإستمارة!$C$18,AL3=الإستمارة!$C$19),VLOOKUP(AL3,الإستمارة!$C$12:$H$19,6,0),VLOOKUP(AL3,الإستمارة!$K$12:$P$19,6,0)),"")</f>
        <v/>
      </c>
      <c r="AM5" s="77" t="e">
        <f>IF(VLOOKUP($A$5,#REF!,MATCH(AL3,#REF!,0),0)="","",VLOOKUP($A$5,#REF!,MATCH(AL3,#REF!,0),0))</f>
        <v>#REF!</v>
      </c>
      <c r="AN5" s="76" t="str">
        <f>IFERROR(IF(OR(AN3=الإستمارة!$C$12,AN3=الإستمارة!$C$13,AN3=الإستمارة!$C$14,AN3=الإستمارة!$C$15,AN3=الإستمارة!$C$16,AN3=الإستمارة!$C$17,AN3=الإستمارة!$C$18,AN3=الإستمارة!$C$19),VLOOKUP(AN3,الإستمارة!$C$12:$H$19,6,0),VLOOKUP(AN3,الإستمارة!$K$12:$P$19,6,0)),"")</f>
        <v/>
      </c>
      <c r="AO5" s="77" t="e">
        <f>IF(VLOOKUP($A$5,#REF!,MATCH(AN3,#REF!,0),0)="","",VLOOKUP($A$5,#REF!,MATCH(AN3,#REF!,0),0))</f>
        <v>#REF!</v>
      </c>
      <c r="AP5" s="76" t="str">
        <f>IFERROR(IF(OR(AP3=الإستمارة!$C$12,AP3=الإستمارة!$C$13,AP3=الإستمارة!$C$14,AP3=الإستمارة!$C$15,AP3=الإستمارة!$C$16,AP3=الإستمارة!$C$17,AP3=الإستمارة!$C$18,AP3=الإستمارة!$C$19),VLOOKUP(AP3,الإستمارة!$C$12:$H$19,6,0),VLOOKUP(AP3,الإستمارة!$K$12:$P$19,6,0)),"")</f>
        <v/>
      </c>
      <c r="AQ5" s="77" t="e">
        <f>IF(VLOOKUP($A$5,#REF!,MATCH(AP3,#REF!,0),0)="","",VLOOKUP($A$5,#REF!,MATCH(AP3,#REF!,0),0))</f>
        <v>#REF!</v>
      </c>
      <c r="AR5" s="76" t="str">
        <f>IFERROR(IF(OR(AR3=الإستمارة!$C$12,AR3=الإستمارة!$C$13,AR3=الإستمارة!$C$14,AR3=الإستمارة!$C$15,AR3=الإستمارة!$C$16,AR3=الإستمارة!$C$17,AR3=الإستمارة!$C$18,AR3=الإستمارة!$C$19),VLOOKUP(AR3,الإستمارة!$C$12:$H$19,6,0),VLOOKUP(AR3,الإستمارة!$K$12:$P$19,6,0)),"")</f>
        <v/>
      </c>
      <c r="AS5" s="77" t="e">
        <f>IF(VLOOKUP($A$5,#REF!,MATCH(AR3,#REF!,0),0)="","",VLOOKUP($A$5,#REF!,MATCH(AR3,#REF!,0),0))</f>
        <v>#REF!</v>
      </c>
      <c r="AT5" s="76" t="str">
        <f>IFERROR(IF(OR(AT3=الإستمارة!$C$12,AT3=الإستمارة!$C$13,AT3=الإستمارة!$C$14,AT3=الإستمارة!$C$15,AT3=الإستمارة!$C$16,AT3=الإستمارة!$C$17,AT3=الإستمارة!$C$18,AT3=الإستمارة!$C$19),VLOOKUP(AT3,الإستمارة!$C$12:$H$19,6,0),VLOOKUP(AT3,الإستمارة!$K$12:$P$19,6,0)),"")</f>
        <v/>
      </c>
      <c r="AU5" s="77" t="e">
        <f>IF(VLOOKUP($A$5,#REF!,MATCH(AT3,#REF!,0),0)="","",VLOOKUP($A$5,#REF!,MATCH(AT3,#REF!,0),0))</f>
        <v>#REF!</v>
      </c>
      <c r="AV5" s="76" t="str">
        <f>IFERROR(IF(OR(AV3=الإستمارة!$C$12,AV3=الإستمارة!$C$13,AV3=الإستمارة!$C$14,AV3=الإستمارة!$C$15,AV3=الإستمارة!$C$16,AV3=الإستمارة!$C$17,AV3=الإستمارة!$C$18,AV3=الإستمارة!$C$19),VLOOKUP(AV3,الإستمارة!$C$12:$H$19,6,0),VLOOKUP(AV3,الإستمارة!$K$12:$P$19,6,0)),"")</f>
        <v/>
      </c>
      <c r="AW5" s="77" t="e">
        <f>IF(VLOOKUP($A$5,#REF!,MATCH(AV3,#REF!,0),0)="","",VLOOKUP($A$5,#REF!,MATCH(AV3,#REF!,0),0))</f>
        <v>#REF!</v>
      </c>
      <c r="AX5" s="76" t="str">
        <f>IFERROR(IF(OR(AX3=الإستمارة!$C$12,AX3=الإستمارة!$C$13,AX3=الإستمارة!$C$14,AX3=الإستمارة!$C$15,AX3=الإستمارة!$C$16,AX3=الإستمارة!$C$17,AX3=الإستمارة!$C$18,AX3=الإستمارة!$C$19),VLOOKUP(AX3,الإستمارة!$C$12:$H$19,6,0),VLOOKUP(AX3,الإستمارة!$K$12:$P$19,6,0)),"")</f>
        <v/>
      </c>
      <c r="AY5" s="77" t="e">
        <f>IF(VLOOKUP($A$5,#REF!,MATCH(AX3,#REF!,0),0)="","",VLOOKUP($A$5,#REF!,MATCH(AX3,#REF!,0),0))</f>
        <v>#REF!</v>
      </c>
      <c r="AZ5" s="76" t="str">
        <f>IFERROR(IF(OR(AZ3=الإستمارة!$C$12,AZ3=الإستمارة!$C$13,AZ3=الإستمارة!$C$14,AZ3=الإستمارة!$C$15,AZ3=الإستمارة!$C$16,AZ3=الإستمارة!$C$17,AZ3=الإستمارة!$C$18,AZ3=الإستمارة!$C$19),VLOOKUP(AZ3,الإستمارة!$C$12:$H$19,6,0),VLOOKUP(AZ3,الإستمارة!$K$12:$P$19,6,0)),"")</f>
        <v/>
      </c>
      <c r="BA5" s="77" t="e">
        <f>IF(VLOOKUP($A$5,#REF!,MATCH(AZ3,#REF!,0),0)="","",VLOOKUP($A$5,#REF!,MATCH(AZ3,#REF!,0),0))</f>
        <v>#REF!</v>
      </c>
      <c r="BB5" s="76" t="str">
        <f>IFERROR(IF(OR(BB3=الإستمارة!$C$12,BB3=الإستمارة!$C$13,BB3=الإستمارة!$C$14,BB3=الإستمارة!$C$15,BB3=الإستمارة!$C$16,BB3=الإستمارة!$C$17,BB3=الإستمارة!$C$18,BB3=الإستمارة!$C$19),VLOOKUP(BB3,الإستمارة!$C$12:$H$19,6,0),VLOOKUP(BB3,الإستمارة!$K$12:$P$19,6,0)),"")</f>
        <v/>
      </c>
      <c r="BC5" s="77" t="e">
        <f>IF(VLOOKUP($A$5,#REF!,MATCH(BB3,#REF!,0),0)="","",VLOOKUP($A$5,#REF!,MATCH(BB3,#REF!,0),0))</f>
        <v>#REF!</v>
      </c>
      <c r="BD5" s="76" t="str">
        <f>IFERROR(IF(OR(BD3=الإستمارة!$C$12,BD3=الإستمارة!$C$13,BD3=الإستمارة!$C$14,BD3=الإستمارة!$C$15,BD3=الإستمارة!$C$16,BD3=الإستمارة!$C$17,BD3=الإستمارة!$C$18,BD3=الإستمارة!$C$19),VLOOKUP(BD3,الإستمارة!$C$12:$H$19,6,0),VLOOKUP(BD3,الإستمارة!$K$12:$P$19,6,0)),"")</f>
        <v/>
      </c>
      <c r="BE5" s="77" t="e">
        <f>IF(VLOOKUP($A$5,#REF!,MATCH(BD3,#REF!,0),0)="","",VLOOKUP($A$5,#REF!,MATCH(BD3,#REF!,0),0))</f>
        <v>#REF!</v>
      </c>
      <c r="BF5" s="76" t="str">
        <f>IFERROR(IF(OR(BF3=الإستمارة!$C$12,BF3=الإستمارة!$C$13,BF3=الإستمارة!$C$14,BF3=الإستمارة!$C$15,BF3=الإستمارة!$C$16,BF3=الإستمارة!$C$17,BF3=الإستمارة!$C$18,BF3=الإستمارة!$C$19),VLOOKUP(BF3,الإستمارة!$C$12:$H$19,6,0),VLOOKUP(BF3,الإستمارة!$K$12:$P$19,6,0)),"")</f>
        <v/>
      </c>
      <c r="BG5" s="77" t="e">
        <f>IF(VLOOKUP($A$5,#REF!,MATCH(BF3,#REF!,0),0)="","",VLOOKUP($A$5,#REF!,MATCH(BF3,#REF!,0),0))</f>
        <v>#REF!</v>
      </c>
      <c r="BH5" s="76" t="str">
        <f>IFERROR(IF(OR(BH3=الإستمارة!$C$12,BH3=الإستمارة!$C$13,BH3=الإستمارة!$C$14,BH3=الإستمارة!$C$15,BH3=الإستمارة!$C$16,BH3=الإستمارة!$C$17,BH3=الإستمارة!$C$18,BH3=الإستمارة!$C$19),VLOOKUP(BH3,الإستمارة!$C$12:$H$19,6,0),VLOOKUP(BH3,الإستمارة!$K$12:$P$19,6,0)),"")</f>
        <v/>
      </c>
      <c r="BI5" s="77" t="e">
        <f>IF(VLOOKUP($A$5,#REF!,MATCH(BH3,#REF!,0),0)="","",VLOOKUP($A$5,#REF!,MATCH(BH3,#REF!,0),0))</f>
        <v>#REF!</v>
      </c>
      <c r="BJ5" s="76" t="str">
        <f>IFERROR(IF(OR(BJ3=الإستمارة!$C$12,BJ3=الإستمارة!$C$13,BJ3=الإستمارة!$C$14,BJ3=الإستمارة!$C$15,BJ3=الإستمارة!$C$16,BJ3=الإستمارة!$C$17,BJ3=الإستمارة!$C$18,BJ3=الإستمارة!$C$19),VLOOKUP(BJ3,الإستمارة!$C$12:$H$19,6,0),VLOOKUP(BJ3,الإستمارة!$K$12:$P$19,6,0)),"")</f>
        <v/>
      </c>
      <c r="BK5" s="77" t="e">
        <f>IF(VLOOKUP($A$5,#REF!,MATCH(BJ3,#REF!,0),0)="","",VLOOKUP($A$5,#REF!,MATCH(BJ3,#REF!,0),0))</f>
        <v>#REF!</v>
      </c>
      <c r="BL5" s="76" t="str">
        <f>IFERROR(IF(OR(BL3=الإستمارة!$C$12,BL3=الإستمارة!$C$13,BL3=الإستمارة!$C$14,BL3=الإستمارة!$C$15,BL3=الإستمارة!$C$16,BL3=الإستمارة!$C$17,BL3=الإستمارة!$C$18,BL3=الإستمارة!$C$19),VLOOKUP(BL3,الإستمارة!$C$12:$H$19,6,0),VLOOKUP(BL3,الإستمارة!$K$12:$P$19,6,0)),"")</f>
        <v/>
      </c>
      <c r="BM5" s="77" t="e">
        <f>IF(VLOOKUP($A$5,#REF!,MATCH(BL3,#REF!,0),0)="","",VLOOKUP($A$5,#REF!,MATCH(BL3,#REF!,0),0))</f>
        <v>#REF!</v>
      </c>
      <c r="BN5" s="76" t="str">
        <f>IFERROR(IF(OR(BN3=الإستمارة!$C$12,BN3=الإستمارة!$C$13,BN3=الإستمارة!$C$14,BN3=الإستمارة!$C$15,BN3=الإستمارة!$C$16,BN3=الإستمارة!$C$17,BN3=الإستمارة!$C$18,BN3=الإستمارة!$C$19),VLOOKUP(BN3,الإستمارة!$C$12:$H$19,6,0),VLOOKUP(BN3,الإستمارة!$K$12:$P$19,6,0)),"")</f>
        <v/>
      </c>
      <c r="BO5" s="77" t="e">
        <f>IF(VLOOKUP($A$5,#REF!,MATCH(BN3,#REF!,0),0)="","",VLOOKUP($A$5,#REF!,MATCH(BN3,#REF!,0),0))</f>
        <v>#REF!</v>
      </c>
      <c r="BP5" s="76" t="str">
        <f>IFERROR(IF(OR(BP3=الإستمارة!$C$12,BP3=الإستمارة!$C$13,BP3=الإستمارة!$C$14,BP3=الإستمارة!$C$15,BP3=الإستمارة!$C$16,BP3=الإستمارة!$C$17,BP3=الإستمارة!$C$18,BP3=الإستمارة!$C$19),VLOOKUP(BP3,الإستمارة!$C$12:$H$19,6,0),VLOOKUP(BP3,الإستمارة!$K$12:$P$19,6,0)),"")</f>
        <v/>
      </c>
      <c r="BQ5" s="77" t="e">
        <f>IF(VLOOKUP($A$5,#REF!,MATCH(BP3,#REF!,0),0)="","",VLOOKUP($A$5,#REF!,MATCH(BP3,#REF!,0),0))</f>
        <v>#REF!</v>
      </c>
      <c r="BR5" s="76" t="str">
        <f>IFERROR(IF(OR(BR3=الإستمارة!$C$12,BR3=الإستمارة!$C$13,BR3=الإستمارة!$C$14,BR3=الإستمارة!$C$15,BR3=الإستمارة!$C$16,BR3=الإستمارة!$C$17,BR3=الإستمارة!$C$18,BR3=الإستمارة!$C$19),VLOOKUP(BR3,الإستمارة!$C$12:$H$19,6,0),VLOOKUP(BR3,الإستمارة!$K$12:$P$19,6,0)),"")</f>
        <v/>
      </c>
      <c r="BS5" s="77" t="e">
        <f>IF(VLOOKUP($A$5,#REF!,MATCH(BR3,#REF!,0),0)="","",VLOOKUP($A$5,#REF!,MATCH(BR3,#REF!,0),0))</f>
        <v>#REF!</v>
      </c>
      <c r="BT5" s="76" t="str">
        <f>IFERROR(IF(OR(BT3=الإستمارة!$C$12,BT3=الإستمارة!$C$13,BT3=الإستمارة!$C$14,BT3=الإستمارة!$C$15,BT3=الإستمارة!$C$16,BT3=الإستمارة!$C$17,BT3=الإستمارة!$C$18,BT3=الإستمارة!$C$19),VLOOKUP(BT3,الإستمارة!$C$12:$H$19,6,0),VLOOKUP(BT3,الإستمارة!$K$12:$P$19,6,0)),"")</f>
        <v/>
      </c>
      <c r="BU5" s="77" t="e">
        <f>IF(VLOOKUP($A$5,#REF!,MATCH(BT3,#REF!,0),0)="","",VLOOKUP($A$5,#REF!,MATCH(BT3,#REF!,0),0))</f>
        <v>#REF!</v>
      </c>
      <c r="BV5" s="76" t="str">
        <f>IFERROR(IF(OR(BV3=الإستمارة!$C$12,BV3=الإستمارة!$C$13,BV3=الإستمارة!$C$14,BV3=الإستمارة!$C$15,BV3=الإستمارة!$C$16,BV3=الإستمارة!$C$17,BV3=الإستمارة!$C$18,BV3=الإستمارة!$C$19),VLOOKUP(BV3,الإستمارة!$C$12:$H$19,6,0),VLOOKUP(BV3,الإستمارة!$K$12:$P$19,6,0)),"")</f>
        <v/>
      </c>
      <c r="BW5" s="77" t="e">
        <f>IF(VLOOKUP($A$5,#REF!,MATCH(BV3,#REF!,0),0)="","",VLOOKUP($A$5,#REF!,MATCH(BV3,#REF!,0),0))</f>
        <v>#REF!</v>
      </c>
      <c r="BX5" s="76" t="str">
        <f>IFERROR(IF(OR(BX3=الإستمارة!$C$12,BX3=الإستمارة!$C$13,BX3=الإستمارة!$C$14,BX3=الإستمارة!$C$15,BX3=الإستمارة!$C$16,BX3=الإستمارة!$C$17,BX3=الإستمارة!$C$18,BX3=الإستمارة!$C$19),VLOOKUP(BX3,الإستمارة!$C$12:$H$19,6,0),VLOOKUP(BX3,الإستمارة!$K$12:$P$19,6,0)),"")</f>
        <v/>
      </c>
      <c r="BY5" s="77" t="e">
        <f>IF(VLOOKUP($A$5,#REF!,MATCH(BX3,#REF!,0),0)="","",VLOOKUP($A$5,#REF!,MATCH(BX3,#REF!,0),0))</f>
        <v>#REF!</v>
      </c>
      <c r="BZ5" s="76" t="str">
        <f>IFERROR(IF(OR(BZ3=الإستمارة!$C$12,BZ3=الإستمارة!$C$13,BZ3=الإستمارة!$C$14,BZ3=الإستمارة!$C$15,BZ3=الإستمارة!$C$16,BZ3=الإستمارة!$C$17,BZ3=الإستمارة!$C$18,BZ3=الإستمارة!$C$19),VLOOKUP(BZ3,الإستمارة!$C$12:$H$19,6,0),VLOOKUP(BZ3,الإستمارة!$K$12:$P$19,6,0)),"")</f>
        <v/>
      </c>
      <c r="CA5" s="77" t="e">
        <f>IF(VLOOKUP($A$5,#REF!,MATCH(BZ3,#REF!,0),0)="","",VLOOKUP($A$5,#REF!,MATCH(BZ3,#REF!,0),0))</f>
        <v>#REF!</v>
      </c>
      <c r="CB5" s="76" t="str">
        <f>IFERROR(IF(OR(CB3=الإستمارة!$C$12,CB3=الإستمارة!$C$13,CB3=الإستمارة!$C$14,CB3=الإستمارة!$C$15,CB3=الإستمارة!$C$16,CB3=الإستمارة!$C$17,CB3=الإستمارة!$C$18,CB3=الإستمارة!$C$19),VLOOKUP(CB3,الإستمارة!$C$12:$H$19,6,0),VLOOKUP(CB3,الإستمارة!$K$12:$P$19,6,0)),"")</f>
        <v/>
      </c>
      <c r="CC5" s="77" t="e">
        <f>IF(VLOOKUP($A$5,#REF!,MATCH(CB3,#REF!,0),0)="","",VLOOKUP($A$5,#REF!,MATCH(CB3,#REF!,0),0))</f>
        <v>#REF!</v>
      </c>
      <c r="CD5" s="76" t="str">
        <f>IFERROR(IF(OR(CD3=الإستمارة!$C$12,CD3=الإستمارة!$C$13,CD3=الإستمارة!$C$14,CD3=الإستمارة!$C$15,CD3=الإستمارة!$C$16,CD3=الإستمارة!$C$17,CD3=الإستمارة!$C$18,CD3=الإستمارة!$C$19),VLOOKUP(CD3,الإستمارة!$C$12:$H$19,6,0),VLOOKUP(CD3,الإستمارة!$K$12:$P$19,6,0)),"")</f>
        <v/>
      </c>
      <c r="CE5" s="77" t="e">
        <f>IF(VLOOKUP($A$5,#REF!,MATCH(CD3,#REF!,0),0)="","",VLOOKUP($A$5,#REF!,MATCH(CD3,#REF!,0),0))</f>
        <v>#REF!</v>
      </c>
      <c r="CF5" s="76" t="str">
        <f>IFERROR(IF(OR(CF3=الإستمارة!$C$12,CF3=الإستمارة!$C$13,CF3=الإستمارة!$C$14,CF3=الإستمارة!$C$15,CF3=الإستمارة!$C$16,CF3=الإستمارة!$C$17,CF3=الإستمارة!$C$18,CF3=الإستمارة!$C$19),VLOOKUP(CF3,الإستمارة!$C$12:$H$19,6,0),VLOOKUP(CF3,الإستمارة!$K$12:$P$19,6,0)),"")</f>
        <v/>
      </c>
      <c r="CG5" s="77" t="e">
        <f>IF(VLOOKUP($A$5,#REF!,MATCH(CF3,#REF!,0),0)="","",VLOOKUP($A$5,#REF!,MATCH(CF3,#REF!,0),0))</f>
        <v>#REF!</v>
      </c>
      <c r="CH5" s="76" t="str">
        <f>IFERROR(IF(OR(CH3=الإستمارة!$C$12,CH3=الإستمارة!$C$13,CH3=الإستمارة!$C$14,CH3=الإستمارة!$C$15,CH3=الإستمارة!$C$16,CH3=الإستمارة!$C$17,CH3=الإستمارة!$C$18,CH3=الإستمارة!$C$19),VLOOKUP(CH3,الإستمارة!$C$12:$H$19,6,0),VLOOKUP(CH3,الإستمارة!$K$12:$P$19,6,0)),"")</f>
        <v/>
      </c>
      <c r="CI5" s="77" t="e">
        <f>IF(VLOOKUP($A$5,#REF!,MATCH(CH3,#REF!,0),0)="","",VLOOKUP($A$5,#REF!,MATCH(CH3,#REF!,0),0))</f>
        <v>#REF!</v>
      </c>
      <c r="CJ5" s="76" t="str">
        <f>IFERROR(IF(OR(CJ3=الإستمارة!$C$12,CJ3=الإستمارة!$C$13,CJ3=الإستمارة!$C$14,CJ3=الإستمارة!$C$15,CJ3=الإستمارة!$C$16,CJ3=الإستمارة!$C$17,CJ3=الإستمارة!$C$18,CJ3=الإستمارة!$C$19),VLOOKUP(CJ3,الإستمارة!$C$12:$H$19,6,0),VLOOKUP(CJ3,الإستمارة!$K$12:$P$19,6,0)),"")</f>
        <v/>
      </c>
      <c r="CK5" s="77" t="e">
        <f>IF(VLOOKUP($A$5,#REF!,MATCH(CJ3,#REF!,0),0)="","",VLOOKUP($A$5,#REF!,MATCH(CJ3,#REF!,0),0))</f>
        <v>#REF!</v>
      </c>
      <c r="CL5" s="76" t="str">
        <f>IFERROR(IF(OR(CL3=الإستمارة!$C$12,CL3=الإستمارة!$C$13,CL3=الإستمارة!$C$14,CL3=الإستمارة!$C$15,CL3=الإستمارة!$C$16,CL3=الإستمارة!$C$17,CL3=الإستمارة!$C$18,CL3=الإستمارة!$C$19),VLOOKUP(CL3,الإستمارة!$C$12:$H$19,6,0),VLOOKUP(CL3,الإستمارة!$K$12:$P$19,6,0)),"")</f>
        <v/>
      </c>
      <c r="CM5" s="77" t="e">
        <f>IF(VLOOKUP($A$5,#REF!,MATCH(CL3,#REF!,0),0)="","",VLOOKUP($A$5,#REF!,MATCH(CL3,#REF!,0),0))</f>
        <v>#REF!</v>
      </c>
      <c r="CN5" s="76" t="str">
        <f>IFERROR(IF(OR(CN3=الإستمارة!$C$12,CN3=الإستمارة!$C$13,CN3=الإستمارة!$C$14,CN3=الإستمارة!$C$15,CN3=الإستمارة!$C$16,CN3=الإستمارة!$C$17,CN3=الإستمارة!$C$18,CN3=الإستمارة!$C$19),VLOOKUP(CN3,الإستمارة!$C$12:$H$19,6,0),VLOOKUP(CN3,الإستمارة!$K$12:$P$19,6,0)),"")</f>
        <v/>
      </c>
      <c r="CO5" s="77" t="e">
        <f>IF(VLOOKUP($A$5,#REF!,MATCH(CN3,#REF!,0),0)="","",VLOOKUP($A$5,#REF!,MATCH(CN3,#REF!,0),0))</f>
        <v>#REF!</v>
      </c>
      <c r="CP5" s="76" t="str">
        <f>IFERROR(IF(OR(CP3=الإستمارة!$C$12,CP3=الإستمارة!$C$13,CP3=الإستمارة!$C$14,CP3=الإستمارة!$C$15,CP3=الإستمارة!$C$16,CP3=الإستمارة!$C$17,CP3=الإستمارة!$C$18,CP3=الإستمارة!$C$19),VLOOKUP(CP3,الإستمارة!$C$12:$H$19,6,0),VLOOKUP(CP3,الإستمارة!$K$12:$P$19,6,0)),"")</f>
        <v/>
      </c>
      <c r="CQ5" s="77" t="e">
        <f>IF(VLOOKUP($A$5,#REF!,MATCH(CP3,#REF!,0),0)="","",VLOOKUP($A$5,#REF!,MATCH(CP3,#REF!,0),0))</f>
        <v>#REF!</v>
      </c>
      <c r="CR5" s="76" t="str">
        <f>IFERROR(IF(OR(CR3=الإستمارة!$C$12,CR3=الإستمارة!$C$13,CR3=الإستمارة!$C$14,CR3=الإستمارة!$C$15,CR3=الإستمارة!$C$16,CR3=الإستمارة!$C$17,CR3=الإستمارة!$C$18,CR3=الإستمارة!$C$19),VLOOKUP(CR3,الإستمارة!$C$12:$H$19,6,0),VLOOKUP(CR3,الإستمارة!$K$12:$P$19,6,0)),"")</f>
        <v/>
      </c>
      <c r="CS5" s="77" t="e">
        <f>IF(VLOOKUP($A$5,#REF!,MATCH(CR3,#REF!,0),0)="","",VLOOKUP($A$5,#REF!,MATCH(CR3,#REF!,0),0))</f>
        <v>#REF!</v>
      </c>
      <c r="CT5" s="76" t="str">
        <f>IFERROR(IF(OR(CT3=الإستمارة!$C$12,CT3=الإستمارة!$C$13,CT3=الإستمارة!$C$14,CT3=الإستمارة!$C$15,CT3=الإستمارة!$C$16,CT3=الإستمارة!$C$17,CT3=الإستمارة!$C$18,CT3=الإستمارة!$C$19),VLOOKUP(CT3,الإستمارة!$C$12:$H$19,6,0),VLOOKUP(CT3,الإستمارة!$K$12:$P$19,6,0)),"")</f>
        <v/>
      </c>
      <c r="CU5" s="77" t="e">
        <f>IF(VLOOKUP($A$5,#REF!,MATCH(CT3,#REF!,0),0)="","",VLOOKUP($A$5,#REF!,MATCH(CT3,#REF!,0),0))</f>
        <v>#REF!</v>
      </c>
      <c r="CV5" s="76" t="str">
        <f>IFERROR(IF(OR(CV3=الإستمارة!$C$12,CV3=الإستمارة!$C$13,CV3=الإستمارة!$C$14,CV3=الإستمارة!$C$15,CV3=الإستمارة!$C$16,CV3=الإستمارة!$C$17,CV3=الإستمارة!$C$18,CV3=الإستمارة!$C$19),VLOOKUP(CV3,الإستمارة!$C$12:$H$19,6,0),VLOOKUP(CV3,الإستمارة!$K$12:$P$19,6,0)),"")</f>
        <v/>
      </c>
      <c r="CW5" s="77" t="e">
        <f>IF(VLOOKUP($A$5,#REF!,MATCH(CV3,#REF!,0),0)="","",VLOOKUP($A$5,#REF!,MATCH(CV3,#REF!,0),0))</f>
        <v>#REF!</v>
      </c>
      <c r="CX5" s="76" t="str">
        <f>IFERROR(IF(OR(CX3=الإستمارة!$C$12,CX3=الإستمارة!$C$13,CX3=الإستمارة!$C$14,CX3=الإستمارة!$C$15,CX3=الإستمارة!$C$16,CX3=الإستمارة!$C$17,CX3=الإستمارة!$C$18,CX3=الإستمارة!$C$19),VLOOKUP(CX3,الإستمارة!$C$12:$H$19,6,0),VLOOKUP(CX3,الإستمارة!$K$12:$P$19,6,0)),"")</f>
        <v/>
      </c>
      <c r="CY5" s="77" t="e">
        <f>IF(VLOOKUP($A$5,#REF!,MATCH(CX3,#REF!,0),0)="","",VLOOKUP($A$5,#REF!,MATCH(CX3,#REF!,0),0))</f>
        <v>#REF!</v>
      </c>
      <c r="CZ5" s="76" t="str">
        <f>IFERROR(IF(OR(CZ3=الإستمارة!$C$12,CZ3=الإستمارة!$C$13,CZ3=الإستمارة!$C$14,CZ3=الإستمارة!$C$15,CZ3=الإستمارة!$C$16,CZ3=الإستمارة!$C$17,CZ3=الإستمارة!$C$18,CZ3=الإستمارة!$C$19),VLOOKUP(CZ3,الإستمارة!$C$12:$H$19,6,0),VLOOKUP(CZ3,الإستمارة!$K$12:$P$19,6,0)),"")</f>
        <v/>
      </c>
      <c r="DA5" s="77" t="e">
        <f>IF(VLOOKUP($A$5,#REF!,MATCH(CZ3,#REF!,0),0)="","",VLOOKUP($A$5,#REF!,MATCH(CZ3,#REF!,0),0))</f>
        <v>#REF!</v>
      </c>
      <c r="DB5" s="76" t="str">
        <f>IFERROR(IF(OR(DB3=الإستمارة!$C$12,DB3=الإستمارة!$C$13,DB3=الإستمارة!$C$14,DB3=الإستمارة!$C$15,DB3=الإستمارة!$C$16,DB3=الإستمارة!$C$17,DB3=الإستمارة!$C$18,DB3=الإستمارة!$C$19),VLOOKUP(DB3,الإستمارة!$C$12:$H$19,6,0),VLOOKUP(DB3,الإستمارة!$K$12:$P$19,6,0)),"")</f>
        <v/>
      </c>
      <c r="DC5" s="77" t="e">
        <f>IF(VLOOKUP($A$5,#REF!,MATCH(DB3,#REF!,0),0)="","",VLOOKUP($A$5,#REF!,MATCH(DB3,#REF!,0),0))</f>
        <v>#REF!</v>
      </c>
      <c r="DD5" s="76" t="str">
        <f>IFERROR(IF(OR(DD3=الإستمارة!$C$12,DD3=الإستمارة!$C$13,DD3=الإستمارة!$C$14,DD3=الإستمارة!$C$15,DD3=الإستمارة!$C$16,DD3=الإستمارة!$C$17,DD3=الإستمارة!$C$18,DD3=الإستمارة!$C$19),VLOOKUP(DD3,الإستمارة!$C$12:$H$19,6,0),VLOOKUP(DD3,الإستمارة!$K$12:$P$19,6,0)),"")</f>
        <v/>
      </c>
      <c r="DE5" s="77" t="e">
        <f>IF(VLOOKUP($A$5,#REF!,MATCH(DD3,#REF!,0),0)="","",VLOOKUP($A$5,#REF!,MATCH(DD3,#REF!,0),0))</f>
        <v>#REF!</v>
      </c>
      <c r="DF5" s="76" t="str">
        <f>IFERROR(IF(OR(DF3=الإستمارة!$C$12,DF3=الإستمارة!$C$13,DF3=الإستمارة!$C$14,DF3=الإستمارة!$C$15,DF3=الإستمارة!$C$16,DF3=الإستمارة!$C$17,DF3=الإستمارة!$C$18,DF3=الإستمارة!$C$19),VLOOKUP(DF3,الإستمارة!$C$12:$H$19,6,0),VLOOKUP(DF3,الإستمارة!$K$12:$P$19,6,0)),"")</f>
        <v/>
      </c>
      <c r="DG5" s="77" t="e">
        <f>IF(VLOOKUP($A$5,#REF!,MATCH(DF3,#REF!,0),0)="","",VLOOKUP($A$5,#REF!,MATCH(DF3,#REF!,0),0))</f>
        <v>#REF!</v>
      </c>
      <c r="DH5" s="76" t="str">
        <f>IFERROR(IF(OR(DH3=الإستمارة!$C$12,DH3=الإستمارة!$C$13,DH3=الإستمارة!$C$14,DH3=الإستمارة!$C$15,DH3=الإستمارة!$C$16,DH3=الإستمارة!$C$17,DH3=الإستمارة!$C$18,DH3=الإستمارة!$C$19),VLOOKUP(DH3,الإستمارة!$C$12:$H$19,6,0),VLOOKUP(DH3,الإستمارة!$K$12:$P$19,6,0)),"")</f>
        <v/>
      </c>
      <c r="DI5" s="77" t="e">
        <f>IF(VLOOKUP($A$5,#REF!,MATCH(DH3,#REF!,0),0)="","",VLOOKUP($A$5,#REF!,MATCH(DH3,#REF!,0),0))</f>
        <v>#REF!</v>
      </c>
      <c r="DJ5" s="181">
        <f>'اختيار المقررات'!Q5</f>
        <v>0</v>
      </c>
      <c r="DK5" s="210">
        <f>'اختيار المقررات'!W5</f>
        <v>0</v>
      </c>
      <c r="DL5" s="183">
        <f>'اختيار المقررات'!AB5</f>
        <v>0</v>
      </c>
      <c r="DM5" s="184">
        <f>'اختيار المقررات'!F5</f>
        <v>0</v>
      </c>
      <c r="DN5" s="185">
        <f>'اختيار المقررات'!W27</f>
        <v>0</v>
      </c>
      <c r="DO5" s="186">
        <f>'اختيار المقررات'!AD27</f>
        <v>12000</v>
      </c>
      <c r="DP5" s="186">
        <f>'اختيار المقررات'!N27</f>
        <v>0</v>
      </c>
      <c r="DQ5" s="186">
        <f>'اختيار المقررات'!N28</f>
        <v>0</v>
      </c>
      <c r="DR5" s="187">
        <f>'اختيار المقررات'!W28</f>
        <v>12000</v>
      </c>
      <c r="DS5" s="186" t="str">
        <f>'اختيار المقررات'!N29</f>
        <v>لا</v>
      </c>
      <c r="DT5" s="186">
        <f>'اختيار المقررات'!W29</f>
        <v>12000</v>
      </c>
      <c r="DU5" s="186">
        <f>'اختيار المقررات'!AD29</f>
        <v>0</v>
      </c>
      <c r="DV5" s="181">
        <f>'اختيار المقررات'!V30</f>
        <v>0</v>
      </c>
      <c r="DW5" s="188">
        <f>'اختيار المقررات'!AB30</f>
        <v>0</v>
      </c>
      <c r="DX5" s="186" t="e">
        <f>'اختيار المقررات'!AF30</f>
        <v>#VALUE!</v>
      </c>
      <c r="DY5" s="189" t="e">
        <f>SUM(DV5:DX5)</f>
        <v>#VALUE!</v>
      </c>
      <c r="DZ5" s="181">
        <f>'اختيار المقررات'!AB2</f>
        <v>0</v>
      </c>
      <c r="EA5" s="182">
        <f>'اختيار المقررات'!W2</f>
        <v>0</v>
      </c>
      <c r="EB5" s="182">
        <f>'اختيار المقررات'!Q2</f>
        <v>0</v>
      </c>
      <c r="EC5" s="189">
        <f>'اختيار المقررات'!H2</f>
        <v>0</v>
      </c>
      <c r="ED5" s="189" t="str">
        <f>'اختيار المقررات'!C28</f>
        <v/>
      </c>
      <c r="EE5" s="189" t="str">
        <f>'اختيار المقررات'!C29</f>
        <v/>
      </c>
      <c r="EF5" s="189" t="str">
        <f>'اختيار المقررات'!C30</f>
        <v/>
      </c>
      <c r="EG5" s="189" t="str">
        <f>'اختيار المقررات'!C31</f>
        <v/>
      </c>
      <c r="EH5" s="189" t="str">
        <f>'اختيار المقررات'!C32</f>
        <v/>
      </c>
      <c r="EI5" s="189" t="str">
        <f>'اختيار المقررات'!C33</f>
        <v/>
      </c>
      <c r="EJ5" s="208" t="str">
        <f>'اختيار المقررات'!C35</f>
        <v/>
      </c>
      <c r="EK5" s="78">
        <f>'اختيار المقررات'!Z28</f>
        <v>0</v>
      </c>
    </row>
  </sheetData>
  <sheetProtection algorithmName="SHA-512" hashValue="bKuEiwyOBtJOoTaKRLDzvYQEJf/apdb0WQqrVeVtz4lQkgUMvXW3Ver4W4AeW65WaN1iI2cKY6NyTI4DfhMYHA==" saltValue="Ue1wzfbUYX0Dr7CpF293sQ==" spinCount="100000" sheet="1" objects="1" scenarios="1"/>
  <mergeCells count="96">
    <mergeCell ref="M1:M4"/>
    <mergeCell ref="A1:A2"/>
    <mergeCell ref="B1:B2"/>
    <mergeCell ref="C1:J2"/>
    <mergeCell ref="K1:K4"/>
    <mergeCell ref="L1:L4"/>
    <mergeCell ref="V3:W3"/>
    <mergeCell ref="N1:N4"/>
    <mergeCell ref="O1:O4"/>
    <mergeCell ref="P1:R2"/>
    <mergeCell ref="S1:S4"/>
    <mergeCell ref="T1:AO1"/>
    <mergeCell ref="P3:P4"/>
    <mergeCell ref="Q3:Q4"/>
    <mergeCell ref="R3:R4"/>
    <mergeCell ref="T3:U3"/>
    <mergeCell ref="X3:Y3"/>
    <mergeCell ref="Z3:AA3"/>
    <mergeCell ref="AB3:AC3"/>
    <mergeCell ref="AD3:AE3"/>
    <mergeCell ref="T2:AE2"/>
    <mergeCell ref="AF3:AG3"/>
    <mergeCell ref="CD2:CM2"/>
    <mergeCell ref="BL1:CC1"/>
    <mergeCell ref="CD1:DI1"/>
    <mergeCell ref="BP3:BQ3"/>
    <mergeCell ref="AP1:BK1"/>
    <mergeCell ref="AP2:AW2"/>
    <mergeCell ref="AZ2:BI2"/>
    <mergeCell ref="BL2:BQ2"/>
    <mergeCell ref="BR2:CA2"/>
    <mergeCell ref="AP3:AQ3"/>
    <mergeCell ref="CN3:CO3"/>
    <mergeCell ref="BR3:BS3"/>
    <mergeCell ref="BT3:BU3"/>
    <mergeCell ref="BV3:BW3"/>
    <mergeCell ref="BX3:BY3"/>
    <mergeCell ref="BZ3:CA3"/>
    <mergeCell ref="AH3:AI3"/>
    <mergeCell ref="AJ3:AK3"/>
    <mergeCell ref="AL3:AM3"/>
    <mergeCell ref="AN3:AO3"/>
    <mergeCell ref="BN3:BO3"/>
    <mergeCell ref="AR3:AS3"/>
    <mergeCell ref="AT3:AU3"/>
    <mergeCell ref="AV3:AW3"/>
    <mergeCell ref="AX3:AY3"/>
    <mergeCell ref="AZ3:BA3"/>
    <mergeCell ref="BB3:BC3"/>
    <mergeCell ref="BD3:BE3"/>
    <mergeCell ref="BF3:BG3"/>
    <mergeCell ref="BH3:BI3"/>
    <mergeCell ref="BJ3:BK3"/>
    <mergeCell ref="BL3:BM3"/>
    <mergeCell ref="CB3:CC3"/>
    <mergeCell ref="CD3:CE3"/>
    <mergeCell ref="CF3:CG3"/>
    <mergeCell ref="CH3:CI3"/>
    <mergeCell ref="CJ3:CK3"/>
    <mergeCell ref="CL3:CM3"/>
    <mergeCell ref="CP3:CQ3"/>
    <mergeCell ref="CR3:CS3"/>
    <mergeCell ref="CT3:CU3"/>
    <mergeCell ref="CV3:CW3"/>
    <mergeCell ref="CX3:CY3"/>
    <mergeCell ref="CZ3:DA3"/>
    <mergeCell ref="DB3:DC3"/>
    <mergeCell ref="DD3:DE3"/>
    <mergeCell ref="DF3:DG3"/>
    <mergeCell ref="DH3:DI3"/>
    <mergeCell ref="EC3:EC4"/>
    <mergeCell ref="ED1:EI4"/>
    <mergeCell ref="DR3:DR4"/>
    <mergeCell ref="DJ3:DJ4"/>
    <mergeCell ref="DK3:DK4"/>
    <mergeCell ref="DL3:DL4"/>
    <mergeCell ref="DM3:DM4"/>
    <mergeCell ref="DN3:DN4"/>
    <mergeCell ref="DO3:DO4"/>
    <mergeCell ref="DP3:DP4"/>
    <mergeCell ref="DQ3:DQ4"/>
    <mergeCell ref="DX3:DX4"/>
    <mergeCell ref="DY3:DY4"/>
    <mergeCell ref="DZ3:DZ4"/>
    <mergeCell ref="EA3:EA4"/>
    <mergeCell ref="EB3:EB4"/>
    <mergeCell ref="DS3:DS4"/>
    <mergeCell ref="DT3:DT4"/>
    <mergeCell ref="DU3:DU4"/>
    <mergeCell ref="DV3:DV4"/>
    <mergeCell ref="DW3:DW4"/>
    <mergeCell ref="DJ1:DL2"/>
    <mergeCell ref="DM1:DM2"/>
    <mergeCell ref="DN1:DU2"/>
    <mergeCell ref="DV1:DY2"/>
    <mergeCell ref="DZ1:EC2"/>
  </mergeCells>
  <hyperlinks>
    <hyperlink ref="B1:B2" r:id="rId1" location="'السجل العام'!A1" display="سجل المسجلين دراسات دوليه ودبلوماسيه.xlsm - 'السجل العام'!A1" xr:uid="{00000000-0004-0000-04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5</vt:i4>
      </vt:variant>
      <vt:variant>
        <vt:lpstr>النطاقات المسماة</vt:lpstr>
      </vt:variant>
      <vt:variant>
        <vt:i4>1</vt:i4>
      </vt:variant>
    </vt:vector>
  </HeadingPairs>
  <TitlesOfParts>
    <vt:vector size="6" baseType="lpstr">
      <vt:lpstr>تعليمات التسجيل</vt:lpstr>
      <vt:lpstr>إدخال البيانات</vt:lpstr>
      <vt:lpstr>اختيار المقررات</vt:lpstr>
      <vt:lpstr>الإستمارة</vt:lpstr>
      <vt:lpstr>kin</vt:lpstr>
      <vt:lpstr>الإستمارة!Print_Area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 hamdash</dc:creator>
  <cp:lastModifiedBy>lenovo-lap</cp:lastModifiedBy>
  <cp:revision/>
  <cp:lastPrinted>2023-05-22T22:57:18Z</cp:lastPrinted>
  <dcterms:created xsi:type="dcterms:W3CDTF">2015-06-05T18:17:20Z</dcterms:created>
  <dcterms:modified xsi:type="dcterms:W3CDTF">2025-03-12T06:46:40Z</dcterms:modified>
</cp:coreProperties>
</file>