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lenovo-lap\Desktop\قدامى ف1 2024-2025\استمارات طلاب الثورة\"/>
    </mc:Choice>
  </mc:AlternateContent>
  <xr:revisionPtr revIDLastSave="0" documentId="13_ncr:1_{66FCE0DA-4D4F-4646-8385-C03D1DB197CB}" xr6:coauthVersionLast="47" xr6:coauthVersionMax="47" xr10:uidLastSave="{00000000-0000-0000-0000-000000000000}"/>
  <workbookProtection workbookAlgorithmName="SHA-512" workbookHashValue="I2KuApxaK/YNRH7qP11WVDPjqoHsdLDaiz1gtQNYgmgAgeEnPZDM4c+6wXLogcLzX+YpawRrTote9loqJebLFQ==" workbookSaltValue="+ZYDLKvlbIjbuzSCYJob+g==" workbookSpinCount="100000" lockStructure="1"/>
  <bookViews>
    <workbookView xWindow="-108" yWindow="-108" windowWidth="23256" windowHeight="12576" xr2:uid="{00000000-000D-0000-FFFF-FFFF00000000}"/>
  </bookViews>
  <sheets>
    <sheet name="تعليمات التسجيل" sheetId="14" r:id="rId1"/>
    <sheet name="إدخال البيانات" sheetId="18" r:id="rId2"/>
    <sheet name="اختيار المقررات" sheetId="5" r:id="rId3"/>
    <sheet name="الإستمارة" sheetId="11" r:id="rId4"/>
    <sheet name="tra" sheetId="17" r:id="rId5"/>
  </sheets>
  <definedNames>
    <definedName name="_xlnm._FilterDatabase" localSheetId="1" hidden="1">'إدخال البيانات'!$I$6:$I$21</definedName>
    <definedName name="_xlnm.Print_Area" localSheetId="3">الإستمارة!$A$1:$R$42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5" l="1"/>
  <c r="AF3" i="5"/>
  <c r="C7" i="18"/>
  <c r="R4" i="5"/>
  <c r="M4" i="5"/>
  <c r="F4" i="5"/>
  <c r="F2" i="5"/>
  <c r="AC3" i="5"/>
  <c r="R3" i="5"/>
  <c r="M3" i="5"/>
  <c r="F3" i="5"/>
  <c r="AF1" i="5"/>
  <c r="AC1" i="5"/>
  <c r="M1" i="5"/>
  <c r="F1" i="5"/>
  <c r="X1" i="5" l="1"/>
  <c r="R1" i="5"/>
  <c r="G10" i="18" l="1"/>
  <c r="F10" i="18"/>
  <c r="E10" i="18"/>
  <c r="A2" i="18" l="1"/>
  <c r="D10" i="18"/>
  <c r="C10" i="18"/>
  <c r="B10" i="18"/>
  <c r="A10" i="18"/>
  <c r="B7" i="18"/>
  <c r="A7" i="18"/>
  <c r="DO5" i="17" l="1"/>
  <c r="DN5" i="17"/>
  <c r="DM5" i="17"/>
  <c r="DL5" i="17"/>
  <c r="DE5" i="17"/>
  <c r="CY5" i="17"/>
  <c r="G39" i="11"/>
  <c r="V31" i="11"/>
  <c r="V30" i="11"/>
  <c r="V29" i="11"/>
  <c r="V28" i="11"/>
  <c r="J25" i="11"/>
  <c r="AE22" i="11"/>
  <c r="E22" i="11"/>
  <c r="Z11" i="11"/>
  <c r="Y11" i="11" s="1"/>
  <c r="Z7" i="11"/>
  <c r="Y7" i="11" s="1"/>
  <c r="Z6" i="11"/>
  <c r="Y6" i="11" s="1"/>
  <c r="Z5" i="11"/>
  <c r="Y5" i="11" s="1"/>
  <c r="AD1" i="11"/>
  <c r="B1" i="11"/>
  <c r="AY45" i="5"/>
  <c r="AX45" i="5"/>
  <c r="AW45" i="5"/>
  <c r="AY44" i="5"/>
  <c r="AX44" i="5"/>
  <c r="AW44" i="5"/>
  <c r="AY43" i="5"/>
  <c r="AX43" i="5"/>
  <c r="AW43" i="5"/>
  <c r="AY42" i="5"/>
  <c r="AX42" i="5"/>
  <c r="AW42" i="5"/>
  <c r="AY41" i="5"/>
  <c r="AX41" i="5"/>
  <c r="AW41" i="5"/>
  <c r="AY40" i="5"/>
  <c r="AX40" i="5"/>
  <c r="AW40" i="5"/>
  <c r="AY39" i="5"/>
  <c r="AX39" i="5"/>
  <c r="AW39" i="5"/>
  <c r="AY38" i="5"/>
  <c r="AX38" i="5"/>
  <c r="AW38" i="5"/>
  <c r="AY37" i="5"/>
  <c r="AX37" i="5"/>
  <c r="AW37" i="5"/>
  <c r="AY36" i="5"/>
  <c r="AX36" i="5"/>
  <c r="AW36" i="5"/>
  <c r="AY35" i="5"/>
  <c r="AX35" i="5"/>
  <c r="AW35" i="5"/>
  <c r="AY34" i="5"/>
  <c r="AX34" i="5"/>
  <c r="AW34" i="5"/>
  <c r="AY33" i="5"/>
  <c r="AX33" i="5"/>
  <c r="AW33" i="5"/>
  <c r="AY32" i="5"/>
  <c r="AX32" i="5"/>
  <c r="AW32" i="5"/>
  <c r="AY31" i="5"/>
  <c r="AX31" i="5"/>
  <c r="AW31" i="5"/>
  <c r="AY30" i="5"/>
  <c r="AX30" i="5"/>
  <c r="AW30" i="5"/>
  <c r="AY29" i="5"/>
  <c r="AX29" i="5"/>
  <c r="AW29" i="5"/>
  <c r="AY28" i="5"/>
  <c r="AX28" i="5"/>
  <c r="AW28" i="5"/>
  <c r="AY26" i="5"/>
  <c r="AX26" i="5"/>
  <c r="AW26" i="5"/>
  <c r="AY25" i="5"/>
  <c r="AX25" i="5"/>
  <c r="AW25" i="5"/>
  <c r="AY24" i="5"/>
  <c r="AX24" i="5"/>
  <c r="AW24" i="5"/>
  <c r="AY23" i="5"/>
  <c r="AX23" i="5"/>
  <c r="AW23" i="5"/>
  <c r="AY22" i="5"/>
  <c r="AX22" i="5"/>
  <c r="AW22" i="5"/>
  <c r="AY21" i="5"/>
  <c r="AX21" i="5"/>
  <c r="AW21" i="5"/>
  <c r="AY20" i="5"/>
  <c r="AX20" i="5"/>
  <c r="AW20" i="5"/>
  <c r="AY19" i="5"/>
  <c r="AX19" i="5"/>
  <c r="AW19" i="5"/>
  <c r="AY18" i="5"/>
  <c r="AX18" i="5"/>
  <c r="AW18" i="5"/>
  <c r="AY17" i="5"/>
  <c r="AX17" i="5"/>
  <c r="AW17" i="5"/>
  <c r="AY16" i="5"/>
  <c r="AX16" i="5"/>
  <c r="AW16" i="5"/>
  <c r="AY15" i="5"/>
  <c r="AX15" i="5"/>
  <c r="AW15" i="5"/>
  <c r="AY14" i="5"/>
  <c r="AX14" i="5"/>
  <c r="AW14" i="5"/>
  <c r="AY13" i="5"/>
  <c r="AX13" i="5"/>
  <c r="AW13" i="5"/>
  <c r="AY12" i="5"/>
  <c r="AX12" i="5"/>
  <c r="AW12" i="5"/>
  <c r="AY11" i="5"/>
  <c r="AX11" i="5"/>
  <c r="AW11" i="5"/>
  <c r="AY10" i="5"/>
  <c r="AX10" i="5"/>
  <c r="AW10" i="5"/>
  <c r="AY9" i="5"/>
  <c r="AX9" i="5"/>
  <c r="AW9" i="5"/>
  <c r="AY8" i="5"/>
  <c r="AX8" i="5"/>
  <c r="AW8" i="5"/>
  <c r="AY7" i="5"/>
  <c r="AX7" i="5"/>
  <c r="AW7" i="5"/>
  <c r="AY6" i="5"/>
  <c r="AX6" i="5"/>
  <c r="AW6" i="5"/>
  <c r="AY5" i="5"/>
  <c r="AX5" i="5"/>
  <c r="AW5" i="5"/>
  <c r="AF4" i="5"/>
  <c r="O5" i="17" s="1"/>
  <c r="AC4" i="5"/>
  <c r="H7" i="11" s="1"/>
  <c r="Z21" i="11" s="1"/>
  <c r="Y21" i="11" s="1"/>
  <c r="X4" i="5"/>
  <c r="M5" i="17" s="1"/>
  <c r="AL2" i="5"/>
  <c r="K6" i="11"/>
  <c r="Z18" i="11" s="1"/>
  <c r="Y18" i="11" s="1"/>
  <c r="H4" i="11"/>
  <c r="Z9" i="11" s="1"/>
  <c r="Y9" i="11" s="1"/>
  <c r="M2" i="11"/>
  <c r="Z3" i="11" s="1"/>
  <c r="Y3" i="11" s="1"/>
  <c r="C48" i="5" l="1"/>
  <c r="C46" i="5"/>
  <c r="C47" i="5"/>
  <c r="C49" i="5"/>
  <c r="R5" i="5"/>
  <c r="K22" i="11" s="1"/>
  <c r="X5" i="5"/>
  <c r="O26" i="5"/>
  <c r="AC5" i="5"/>
  <c r="W25" i="5" s="1"/>
  <c r="J23" i="11" s="1"/>
  <c r="H2" i="11"/>
  <c r="C45" i="5"/>
  <c r="C41" i="5"/>
  <c r="C42" i="5"/>
  <c r="C44" i="5"/>
  <c r="C40" i="5"/>
  <c r="D35" i="5" s="1"/>
  <c r="C43" i="5"/>
  <c r="C39" i="5"/>
  <c r="D5" i="11"/>
  <c r="Z12" i="11" s="1"/>
  <c r="Y12" i="11" s="1"/>
  <c r="AB19" i="5"/>
  <c r="AB9" i="5"/>
  <c r="T11" i="5"/>
  <c r="L15" i="5"/>
  <c r="AB18" i="5"/>
  <c r="AB8" i="5"/>
  <c r="T10" i="5"/>
  <c r="L12" i="5"/>
  <c r="C16" i="5"/>
  <c r="AB17" i="5"/>
  <c r="T19" i="5"/>
  <c r="T9" i="5"/>
  <c r="L11" i="5"/>
  <c r="AB16" i="5"/>
  <c r="T18" i="5"/>
  <c r="T8" i="5"/>
  <c r="L10" i="5"/>
  <c r="C12" i="5"/>
  <c r="AB15" i="5"/>
  <c r="T17" i="5"/>
  <c r="L19" i="5"/>
  <c r="L9" i="5"/>
  <c r="AB12" i="5"/>
  <c r="T16" i="5"/>
  <c r="L18" i="5"/>
  <c r="L8" i="5"/>
  <c r="AB11" i="5"/>
  <c r="T15" i="5"/>
  <c r="L17" i="5"/>
  <c r="AB10" i="5"/>
  <c r="T12" i="5"/>
  <c r="L16" i="5"/>
  <c r="C18" i="5"/>
  <c r="B19" i="11"/>
  <c r="K7" i="11"/>
  <c r="Z22" i="11" s="1"/>
  <c r="Y22" i="11" s="1"/>
  <c r="N5" i="17"/>
  <c r="D7" i="11"/>
  <c r="Z20" i="11" s="1"/>
  <c r="Y20" i="11" s="1"/>
  <c r="A5" i="17"/>
  <c r="U6" i="5"/>
  <c r="D2" i="11"/>
  <c r="E34" i="11" s="1"/>
  <c r="E39" i="11" s="1"/>
  <c r="Q5" i="17"/>
  <c r="P6" i="11"/>
  <c r="Z19" i="11" s="1"/>
  <c r="Y19" i="11" s="1"/>
  <c r="P5" i="17"/>
  <c r="H6" i="11"/>
  <c r="Z17" i="11" s="1"/>
  <c r="Y17" i="11" s="1"/>
  <c r="E5" i="17"/>
  <c r="K4" i="11"/>
  <c r="Z10" i="11" s="1"/>
  <c r="Y10" i="11" s="1"/>
  <c r="P2" i="11"/>
  <c r="Z4" i="11" s="1"/>
  <c r="Y4" i="11" s="1"/>
  <c r="D5" i="17"/>
  <c r="Z28" i="5"/>
  <c r="S27" i="5" s="1"/>
  <c r="F5" i="17"/>
  <c r="R5" i="17"/>
  <c r="C5" i="17"/>
  <c r="AO5" i="17" l="1"/>
  <c r="C15" i="5"/>
  <c r="Y5" i="17"/>
  <c r="C10" i="5"/>
  <c r="AZ17" i="5"/>
  <c r="C17" i="5"/>
  <c r="W5" i="17"/>
  <c r="C9" i="5"/>
  <c r="AZ19" i="5"/>
  <c r="C19" i="5"/>
  <c r="A11" i="5"/>
  <c r="AM11" i="5" s="1"/>
  <c r="C11" i="5"/>
  <c r="A8" i="5"/>
  <c r="AM8" i="5" s="1"/>
  <c r="C8" i="5"/>
  <c r="J5" i="17"/>
  <c r="X3" i="5"/>
  <c r="K5" i="17" s="1"/>
  <c r="K5" i="11"/>
  <c r="Z14" i="11" s="1"/>
  <c r="Y14" i="11" s="1"/>
  <c r="H5" i="11"/>
  <c r="Z13" i="11" s="1"/>
  <c r="Y13" i="11" s="1"/>
  <c r="L5" i="17"/>
  <c r="AY5" i="17"/>
  <c r="D34" i="5"/>
  <c r="C26" i="5"/>
  <c r="D26" i="5" s="1"/>
  <c r="C29" i="5"/>
  <c r="D29" i="5" s="1"/>
  <c r="C28" i="5"/>
  <c r="D28" i="5" s="1"/>
  <c r="C32" i="5"/>
  <c r="D32" i="5" s="1"/>
  <c r="C33" i="5"/>
  <c r="D33" i="5" s="1"/>
  <c r="C34" i="5"/>
  <c r="C27" i="5"/>
  <c r="D27" i="5" s="1"/>
  <c r="C30" i="5"/>
  <c r="D30" i="5" s="1"/>
  <c r="C35" i="5"/>
  <c r="C31" i="5"/>
  <c r="D31" i="5" s="1"/>
  <c r="D25" i="5"/>
  <c r="B27" i="11" s="1"/>
  <c r="I5" i="17"/>
  <c r="D4" i="11"/>
  <c r="B34" i="11" s="1"/>
  <c r="B39" i="11" s="1"/>
  <c r="BI5" i="17"/>
  <c r="AZ32" i="5"/>
  <c r="AA12" i="5"/>
  <c r="AM38" i="5" s="1"/>
  <c r="AZ31" i="5"/>
  <c r="BA5" i="17"/>
  <c r="S17" i="5"/>
  <c r="AM41" i="5" s="1"/>
  <c r="AZ13" i="5"/>
  <c r="AZ44" i="5"/>
  <c r="S12" i="5"/>
  <c r="AM33" i="5" s="1"/>
  <c r="AE5" i="17"/>
  <c r="AA15" i="5"/>
  <c r="AM44" i="5" s="1"/>
  <c r="BK5" i="17"/>
  <c r="S19" i="5"/>
  <c r="AM43" i="5" s="1"/>
  <c r="AZ12" i="5"/>
  <c r="S11" i="5"/>
  <c r="AM32" i="5" s="1"/>
  <c r="K17" i="5"/>
  <c r="AM25" i="5" s="1"/>
  <c r="AM5" i="17"/>
  <c r="AZ11" i="5"/>
  <c r="AA16" i="5"/>
  <c r="AM45" i="5" s="1"/>
  <c r="AZ28" i="5"/>
  <c r="AZ36" i="5"/>
  <c r="CC5" i="17"/>
  <c r="S15" i="5"/>
  <c r="AM39" i="5" s="1"/>
  <c r="AZ43" i="5"/>
  <c r="AA17" i="5"/>
  <c r="AM46" i="5" s="1"/>
  <c r="CQ5" i="17"/>
  <c r="AZ29" i="5"/>
  <c r="AZ6" i="5"/>
  <c r="A9" i="5"/>
  <c r="AM9" i="5" s="1"/>
  <c r="CK5" i="17"/>
  <c r="AZ23" i="5"/>
  <c r="BE5" i="17"/>
  <c r="K18" i="5"/>
  <c r="AM26" i="5" s="1"/>
  <c r="BO5" i="17"/>
  <c r="AZ40" i="5"/>
  <c r="G1" i="18"/>
  <c r="AZ14" i="5"/>
  <c r="CI5" i="17"/>
  <c r="U5" i="17"/>
  <c r="K9" i="5"/>
  <c r="AM14" i="5" s="1"/>
  <c r="AS5" i="17"/>
  <c r="AG5" i="17"/>
  <c r="AZ5" i="5"/>
  <c r="AQ5" i="17"/>
  <c r="A16" i="5"/>
  <c r="AM19" i="5" s="1"/>
  <c r="AZ16" i="5"/>
  <c r="CV5" i="17"/>
  <c r="AZ35" i="5"/>
  <c r="CA5" i="17"/>
  <c r="CU5" i="17"/>
  <c r="AA19" i="5"/>
  <c r="AM48" i="5" s="1"/>
  <c r="AZ45" i="5"/>
  <c r="AZ8" i="5"/>
  <c r="AA5" i="17"/>
  <c r="K12" i="5"/>
  <c r="AM17" i="5" s="1"/>
  <c r="CX5" i="17"/>
  <c r="S18" i="5"/>
  <c r="AM42" i="5" s="1"/>
  <c r="AZ39" i="5"/>
  <c r="S5" i="17"/>
  <c r="D3" i="11"/>
  <c r="J24" i="11"/>
  <c r="C6" i="5"/>
  <c r="B8" i="11" s="1"/>
  <c r="AZ42" i="5"/>
  <c r="CO5" i="17"/>
  <c r="A19" i="5"/>
  <c r="AM22" i="5" s="1"/>
  <c r="K10" i="5"/>
  <c r="AM15" i="5" s="1"/>
  <c r="AZ30" i="5"/>
  <c r="AZ34" i="5"/>
  <c r="AC5" i="17"/>
  <c r="AA11" i="5"/>
  <c r="AM37" i="5" s="1"/>
  <c r="BY5" i="17"/>
  <c r="AI5" i="17"/>
  <c r="S10" i="5"/>
  <c r="AM31" i="5" s="1"/>
  <c r="AZ22" i="5"/>
  <c r="BM5" i="17"/>
  <c r="A17" i="5"/>
  <c r="AM20" i="5" s="1"/>
  <c r="AZ38" i="5"/>
  <c r="BS5" i="17"/>
  <c r="BQ5" i="17"/>
  <c r="AA8" i="5"/>
  <c r="AM34" i="5" s="1"/>
  <c r="BC5" i="17"/>
  <c r="CG5" i="17"/>
  <c r="AW5" i="17"/>
  <c r="AZ41" i="5"/>
  <c r="CM5" i="17"/>
  <c r="AZ7" i="5"/>
  <c r="I13" i="5"/>
  <c r="G13" i="5"/>
  <c r="A12" i="5"/>
  <c r="AM12" i="5" s="1"/>
  <c r="AZ9" i="5"/>
  <c r="J13" i="5"/>
  <c r="AK5" i="17"/>
  <c r="K11" i="5"/>
  <c r="AM16" i="5" s="1"/>
  <c r="H13" i="5"/>
  <c r="R24" i="5"/>
  <c r="A10" i="5"/>
  <c r="AM10" i="5" s="1"/>
  <c r="AF20" i="5"/>
  <c r="K15" i="5"/>
  <c r="AM23" i="5" s="1"/>
  <c r="P13" i="5"/>
  <c r="AU5" i="17"/>
  <c r="AG20" i="5"/>
  <c r="BU5" i="17"/>
  <c r="AZ26" i="5"/>
  <c r="K8" i="5"/>
  <c r="AM13" i="5" s="1"/>
  <c r="AA9" i="5"/>
  <c r="AM35" i="5" s="1"/>
  <c r="R13" i="5"/>
  <c r="AH13" i="5"/>
  <c r="AZ24" i="5"/>
  <c r="O20" i="5"/>
  <c r="W13" i="5"/>
  <c r="H20" i="5"/>
  <c r="P20" i="5"/>
  <c r="AZ20" i="5"/>
  <c r="W20" i="5"/>
  <c r="AE20" i="5"/>
  <c r="R20" i="5"/>
  <c r="O13" i="5"/>
  <c r="A18" i="5"/>
  <c r="AM21" i="5" s="1"/>
  <c r="AA10" i="5"/>
  <c r="AM36" i="5" s="1"/>
  <c r="CS5" i="17"/>
  <c r="BG5" i="17"/>
  <c r="S16" i="5"/>
  <c r="AM40" i="5" s="1"/>
  <c r="I20" i="5"/>
  <c r="Q20" i="5"/>
  <c r="Y13" i="5"/>
  <c r="Q13" i="5"/>
  <c r="K19" i="5"/>
  <c r="AM28" i="5" s="1"/>
  <c r="X13" i="5"/>
  <c r="Z20" i="5"/>
  <c r="AA18" i="5"/>
  <c r="AM47" i="5" s="1"/>
  <c r="AZ18" i="5"/>
  <c r="Z13" i="5"/>
  <c r="S9" i="5"/>
  <c r="AM30" i="5" s="1"/>
  <c r="AZ33" i="5"/>
  <c r="AZ10" i="5"/>
  <c r="S8" i="5"/>
  <c r="AM29" i="5" s="1"/>
  <c r="AZ15" i="5"/>
  <c r="AH20" i="5"/>
  <c r="AZ25" i="5"/>
  <c r="AF13" i="5"/>
  <c r="AG13" i="5"/>
  <c r="K16" i="5"/>
  <c r="AM24" i="5" s="1"/>
  <c r="B5" i="17"/>
  <c r="Y20" i="5"/>
  <c r="G20" i="5"/>
  <c r="AZ21" i="5"/>
  <c r="A15" i="5"/>
  <c r="AM18" i="5" s="1"/>
  <c r="AE13" i="5"/>
  <c r="BW5" i="17"/>
  <c r="X20" i="5"/>
  <c r="CE5" i="17"/>
  <c r="J20" i="5"/>
  <c r="AZ37" i="5"/>
  <c r="CW5" i="17"/>
  <c r="N22" i="11"/>
  <c r="DX5" i="17"/>
  <c r="G5" i="17" l="1"/>
  <c r="D6" i="11"/>
  <c r="Z16" i="11" s="1"/>
  <c r="Y16" i="11" s="1"/>
  <c r="H33" i="11"/>
  <c r="H38" i="11" s="1"/>
  <c r="H5" i="17"/>
  <c r="P5" i="11"/>
  <c r="Z15" i="11" s="1"/>
  <c r="Y15" i="11" s="1"/>
  <c r="Z8" i="11"/>
  <c r="Y8" i="11" s="1"/>
  <c r="B29" i="11"/>
  <c r="G28" i="11"/>
  <c r="DW5" i="17"/>
  <c r="DS5" i="17"/>
  <c r="DT5" i="17"/>
  <c r="DV5" i="17"/>
  <c r="DP5" i="17"/>
  <c r="G30" i="11"/>
  <c r="V20" i="11"/>
  <c r="J14" i="11" s="1"/>
  <c r="Q14" i="11" s="1"/>
  <c r="V12" i="11"/>
  <c r="B13" i="11" s="1"/>
  <c r="I13" i="11" s="1"/>
  <c r="V19" i="11"/>
  <c r="J13" i="11" s="1"/>
  <c r="K13" i="11" s="1"/>
  <c r="V13" i="11"/>
  <c r="B14" i="11" s="1"/>
  <c r="H14" i="11" s="1"/>
  <c r="C13" i="5"/>
  <c r="C20" i="5"/>
  <c r="DB5" i="17"/>
  <c r="AB13" i="5"/>
  <c r="V23" i="11"/>
  <c r="J17" i="11" s="1"/>
  <c r="P17" i="11" s="1"/>
  <c r="V14" i="11"/>
  <c r="B15" i="11" s="1"/>
  <c r="D15" i="11" s="1"/>
  <c r="V18" i="11"/>
  <c r="J12" i="11" s="1"/>
  <c r="K12" i="11" s="1"/>
  <c r="V17" i="11"/>
  <c r="B18" i="11" s="1"/>
  <c r="D18" i="11" s="1"/>
  <c r="V21" i="11"/>
  <c r="J15" i="11" s="1"/>
  <c r="K15" i="11" s="1"/>
  <c r="V11" i="11"/>
  <c r="B12" i="11" s="1"/>
  <c r="I12" i="11" s="1"/>
  <c r="V22" i="11"/>
  <c r="J16" i="11" s="1"/>
  <c r="K16" i="11" s="1"/>
  <c r="AB20" i="5"/>
  <c r="V15" i="11"/>
  <c r="B16" i="11" s="1"/>
  <c r="H16" i="11" s="1"/>
  <c r="V24" i="11"/>
  <c r="J18" i="11" s="1"/>
  <c r="L18" i="11" s="1"/>
  <c r="V16" i="11"/>
  <c r="B17" i="11" s="1"/>
  <c r="D17" i="11" s="1"/>
  <c r="AE25" i="5"/>
  <c r="AE26" i="5"/>
  <c r="DI5" i="17" s="1"/>
  <c r="Z27" i="5"/>
  <c r="M21" i="11" s="1"/>
  <c r="O27" i="5"/>
  <c r="O25" i="5" s="1"/>
  <c r="AE27" i="5"/>
  <c r="AA4" i="11" l="1"/>
  <c r="AE4" i="11" s="1"/>
  <c r="L13" i="5"/>
  <c r="AA10" i="11"/>
  <c r="AE10" i="11" s="1"/>
  <c r="AA8" i="11"/>
  <c r="AE8" i="11" s="1"/>
  <c r="T20" i="5"/>
  <c r="AA15" i="11"/>
  <c r="AE15" i="11" s="1"/>
  <c r="AA9" i="11"/>
  <c r="AE9" i="11" s="1"/>
  <c r="AA11" i="11"/>
  <c r="AE11" i="11" s="1"/>
  <c r="T13" i="5"/>
  <c r="L20" i="5"/>
  <c r="AA18" i="11"/>
  <c r="AE18" i="11" s="1"/>
  <c r="AA5" i="11"/>
  <c r="AE5" i="11" s="1"/>
  <c r="AA21" i="11"/>
  <c r="AE21" i="11" s="1"/>
  <c r="AA7" i="11"/>
  <c r="AE7" i="11" s="1"/>
  <c r="AA14" i="11"/>
  <c r="AE14" i="11" s="1"/>
  <c r="AA13" i="11"/>
  <c r="AE13" i="11" s="1"/>
  <c r="AA16" i="11"/>
  <c r="AE16" i="11" s="1"/>
  <c r="AA19" i="11"/>
  <c r="AE19" i="11" s="1"/>
  <c r="AA3" i="11"/>
  <c r="AE3" i="11" s="1"/>
  <c r="AA20" i="11"/>
  <c r="AE20" i="11" s="1"/>
  <c r="AA6" i="11"/>
  <c r="AE6" i="11" s="1"/>
  <c r="AA12" i="11"/>
  <c r="AE12" i="11" s="1"/>
  <c r="AA17" i="11"/>
  <c r="AE17" i="11" s="1"/>
  <c r="DQ5" i="17"/>
  <c r="DU5" i="17"/>
  <c r="G29" i="11"/>
  <c r="B28" i="11"/>
  <c r="B30" i="11"/>
  <c r="DR5" i="17"/>
  <c r="I14" i="11"/>
  <c r="C14" i="11"/>
  <c r="D14" i="11"/>
  <c r="Q13" i="11"/>
  <c r="D13" i="11"/>
  <c r="H13" i="11"/>
  <c r="T2" i="11" s="1"/>
  <c r="L14" i="11"/>
  <c r="L13" i="11"/>
  <c r="K14" i="11"/>
  <c r="P13" i="11"/>
  <c r="C13" i="11"/>
  <c r="P14" i="11"/>
  <c r="I18" i="11"/>
  <c r="P12" i="11"/>
  <c r="I17" i="11"/>
  <c r="C18" i="11"/>
  <c r="H18" i="11"/>
  <c r="I16" i="11"/>
  <c r="P16" i="11"/>
  <c r="I15" i="11"/>
  <c r="K17" i="11"/>
  <c r="C16" i="11"/>
  <c r="D12" i="11"/>
  <c r="Q17" i="11"/>
  <c r="P15" i="11"/>
  <c r="L15" i="11"/>
  <c r="Q18" i="11"/>
  <c r="Q15" i="11"/>
  <c r="C17" i="11"/>
  <c r="P18" i="11"/>
  <c r="D16" i="11"/>
  <c r="C15" i="11"/>
  <c r="C12" i="11"/>
  <c r="L12" i="11"/>
  <c r="L16" i="11"/>
  <c r="H12" i="11"/>
  <c r="T1" i="11" s="1"/>
  <c r="K18" i="11"/>
  <c r="H15" i="11"/>
  <c r="H17" i="11"/>
  <c r="L17" i="11"/>
  <c r="Q12" i="11"/>
  <c r="Q16" i="11"/>
  <c r="AH29" i="5"/>
  <c r="K21" i="11"/>
  <c r="F21" i="11"/>
  <c r="DH5" i="17"/>
  <c r="DJ5" i="17"/>
  <c r="Q21" i="11"/>
  <c r="CZ5" i="17"/>
  <c r="E24" i="11"/>
  <c r="U21" i="5" l="1"/>
  <c r="O28" i="5" s="1"/>
  <c r="BX5" i="17"/>
  <c r="CL5" i="17"/>
  <c r="Z5" i="17"/>
  <c r="AD5" i="17"/>
  <c r="BJ5" i="17"/>
  <c r="BF5" i="17"/>
  <c r="BT5" i="17"/>
  <c r="AN5" i="17"/>
  <c r="CH5" i="17"/>
  <c r="AR5" i="17"/>
  <c r="CP5" i="17"/>
  <c r="AV5" i="17"/>
  <c r="CB5" i="17"/>
  <c r="AH5" i="17"/>
  <c r="BN5" i="17"/>
  <c r="CT5" i="17"/>
  <c r="AZ5" i="17"/>
  <c r="AL5" i="17"/>
  <c r="BR5" i="17"/>
  <c r="T5" i="17"/>
  <c r="CF5" i="17"/>
  <c r="X5" i="17"/>
  <c r="BD5" i="17"/>
  <c r="CJ5" i="17"/>
  <c r="AP5" i="17"/>
  <c r="BV5" i="17"/>
  <c r="AB5" i="17"/>
  <c r="AT5" i="17"/>
  <c r="AF5" i="17"/>
  <c r="BL5" i="17"/>
  <c r="CR5" i="17"/>
  <c r="AX5" i="17"/>
  <c r="CD5" i="17"/>
  <c r="BH5" i="17"/>
  <c r="CN5" i="17"/>
  <c r="BZ5" i="17"/>
  <c r="AJ5" i="17"/>
  <c r="BP5" i="17"/>
  <c r="V5" i="17"/>
  <c r="BB5" i="17"/>
  <c r="DK5" i="17"/>
  <c r="DA5" i="17"/>
  <c r="E23" i="11"/>
  <c r="DC5" i="17" l="1"/>
  <c r="E25" i="11"/>
  <c r="DD5" i="17"/>
  <c r="E26" i="11"/>
  <c r="F33" i="11" s="1"/>
  <c r="W29" i="5"/>
  <c r="DF5" i="17" s="1"/>
  <c r="AD29" i="5" l="1"/>
  <c r="DG5" i="17" l="1"/>
  <c r="F38" i="11"/>
</calcChain>
</file>

<file path=xl/sharedStrings.xml><?xml version="1.0" encoding="utf-8"?>
<sst xmlns="http://schemas.openxmlformats.org/spreadsheetml/2006/main" count="387" uniqueCount="287">
  <si>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</si>
  <si>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</si>
  <si>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</si>
  <si>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</si>
  <si>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</si>
  <si>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</si>
  <si>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</si>
  <si>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</si>
  <si>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</si>
  <si>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</si>
  <si>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</si>
  <si>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</si>
  <si>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</si>
  <si>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</si>
  <si>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</si>
  <si>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</si>
  <si>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</si>
  <si>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</si>
  <si>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</si>
  <si>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</si>
  <si>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</si>
  <si>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</si>
  <si>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</si>
  <si>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</si>
  <si>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</si>
  <si>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</si>
  <si>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</si>
  <si>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نوع الثانوية</t>
  </si>
  <si>
    <t>رمز المقرر</t>
  </si>
  <si>
    <t>اسم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</si>
  <si>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</si>
  <si>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</si>
  <si>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</si>
  <si>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</si>
  <si>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</si>
  <si>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</si>
  <si>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</si>
  <si>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</si>
  <si>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</si>
  <si>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</si>
  <si>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</si>
  <si>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</si>
  <si>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</si>
  <si>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</si>
  <si>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</si>
  <si>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</si>
  <si>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</si>
  <si>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</si>
  <si>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</si>
  <si>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</si>
  <si>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</si>
  <si>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</si>
  <si>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</si>
  <si>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سنة الشهادة</t>
  </si>
  <si>
    <t>محافظ الشهادة</t>
  </si>
  <si>
    <t>العنوان الدائم</t>
  </si>
  <si>
    <t>المحافظة</t>
  </si>
  <si>
    <t>ذوي الشهداء وجرحى الجيش العربي السوري</t>
  </si>
  <si>
    <t>رقم تدوير رسوم</t>
  </si>
  <si>
    <t>الرابعة</t>
  </si>
  <si>
    <t>الرابعة حديث</t>
  </si>
  <si>
    <t>اتبع الخطوات التالية:</t>
  </si>
  <si>
    <t>الإستمارة وإطبع منها أربعة نسخ</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</si>
  <si>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</si>
  <si>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</si>
  <si>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</si>
  <si>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</si>
  <si>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</si>
  <si>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</si>
  <si>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</si>
  <si>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</si>
  <si>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</si>
  <si>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</si>
  <si>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</si>
  <si>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سجين</t>
  </si>
  <si>
    <t>رسم التسجيل</t>
  </si>
  <si>
    <t>عدد المقررات المسجلة لأول مرة</t>
  </si>
  <si>
    <t>عدد المقررات المسجلة للمرة الثانية</t>
  </si>
  <si>
    <t>عدد المواد الراسبة للمرة الأولى</t>
  </si>
  <si>
    <t>عدد المواد الراسبة للمرة الثانية</t>
  </si>
  <si>
    <t>المقرر المسجل للمرة الأولى</t>
  </si>
  <si>
    <t>المقرر المسجل للمرة الثانية</t>
  </si>
  <si>
    <t>المقرر المسجل لاكثر من مرة</t>
  </si>
  <si>
    <t>place of birth</t>
  </si>
  <si>
    <t>Mother Name</t>
  </si>
  <si>
    <t>Father Name</t>
  </si>
  <si>
    <t>Full Name</t>
  </si>
  <si>
    <t>مكان ورقم القيد</t>
  </si>
  <si>
    <t>لا</t>
  </si>
  <si>
    <t>نعم</t>
  </si>
  <si>
    <t>دمشق</t>
  </si>
  <si>
    <t>علمي</t>
  </si>
  <si>
    <t>ريف دمشق</t>
  </si>
  <si>
    <t>حلب</t>
  </si>
  <si>
    <t>حمص</t>
  </si>
  <si>
    <t>حماة</t>
  </si>
  <si>
    <t>اللاذقية</t>
  </si>
  <si>
    <t>رقم الموبايل</t>
  </si>
  <si>
    <t>طرطوس</t>
  </si>
  <si>
    <t>إدلب</t>
  </si>
  <si>
    <t>نوع الشهادة الثانوية</t>
  </si>
  <si>
    <t>السويداء</t>
  </si>
  <si>
    <t>القنيطرة</t>
  </si>
  <si>
    <t>درعا</t>
  </si>
  <si>
    <t>الحسكة</t>
  </si>
  <si>
    <t>دير الزور</t>
  </si>
  <si>
    <t>الرقة</t>
  </si>
  <si>
    <t>ذكر</t>
  </si>
  <si>
    <t>أنثى</t>
  </si>
  <si>
    <t>العربية السورية</t>
  </si>
  <si>
    <t>أدبي</t>
  </si>
  <si>
    <t>الفلسطينية السورية</t>
  </si>
  <si>
    <t>اللبنانية</t>
  </si>
  <si>
    <t>الأردنية</t>
  </si>
  <si>
    <t>العراقية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</si>
  <si>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</si>
  <si>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</si>
  <si>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</si>
  <si>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</si>
  <si>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</si>
  <si>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</si>
  <si>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</si>
  <si>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</si>
  <si>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</si>
  <si>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</si>
  <si>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</si>
  <si>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</si>
  <si>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</si>
  <si>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</si>
  <si>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</si>
  <si>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</si>
  <si>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</si>
  <si>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الثالثة</t>
  </si>
  <si>
    <t>الأولى</t>
  </si>
  <si>
    <t>الثانية</t>
  </si>
  <si>
    <t>الثالثة حديث</t>
  </si>
  <si>
    <t>الثانية حديث</t>
  </si>
  <si>
    <t>التونسية</t>
  </si>
  <si>
    <t>رسم فصول الانقطاع</t>
  </si>
  <si>
    <t>رسم المقررات</t>
  </si>
  <si>
    <t>ملاحظة: عن كل فصل انقطاع رسم /15000 ل.س/</t>
  </si>
  <si>
    <t>العاملين في وزارة التعليم العالي والمؤسسات والجامعات التابعة لها وأبنائهم</t>
  </si>
  <si>
    <t>وثيقة وفاة  صادرة عن مكتب الشهداء</t>
  </si>
  <si>
    <t>طابع هلال احمر
25  ل .س</t>
  </si>
  <si>
    <t xml:space="preserve">طابع مالي
 30  ل.س   </t>
  </si>
  <si>
    <t>رسم الانقطاع</t>
  </si>
  <si>
    <t>الفصل الثاني 2018-2019</t>
  </si>
  <si>
    <t>الفصول التي انقطع فيها عن التسجيل وسدد رسومها</t>
  </si>
  <si>
    <t>غير سورية</t>
  </si>
  <si>
    <t>شرعية</t>
  </si>
  <si>
    <t>الفصل الأول 2018-2019</t>
  </si>
  <si>
    <t>الفصل الأول 2019-2020</t>
  </si>
  <si>
    <t>الفصل الثاني 2020-2021</t>
  </si>
  <si>
    <t>رسوم المحتفظ بها بسبب الإيقاف</t>
  </si>
  <si>
    <t>طابع بحث علمي
25ل.س</t>
  </si>
  <si>
    <t>ملاحظة: لا يعد الطالب مسجلاً إذا لم ينفذ تعليمات التسجيل كاملةً ويسلم أوراقه إلى القسم المختص  ، وهو مسؤول عن صحة المعلومات الواردة في هذه الاستمارة</t>
  </si>
  <si>
    <t>مستنفذ</t>
  </si>
  <si>
    <t>الفصل الأول 2020-2021</t>
  </si>
  <si>
    <t>أدخل الرقم الإمتحاني</t>
  </si>
  <si>
    <t>الثانوية</t>
  </si>
  <si>
    <t>01</t>
  </si>
  <si>
    <t>02</t>
  </si>
  <si>
    <t>الأولى حديث</t>
  </si>
  <si>
    <t>03</t>
  </si>
  <si>
    <t>رقم جواز السفر لغير السوريين</t>
  </si>
  <si>
    <t>رقم الهاتف</t>
  </si>
  <si>
    <t>06</t>
  </si>
  <si>
    <t>04</t>
  </si>
  <si>
    <t>05</t>
  </si>
  <si>
    <t>07</t>
  </si>
  <si>
    <t>08</t>
  </si>
  <si>
    <t xml:space="preserve">اليمنية </t>
  </si>
  <si>
    <t>09</t>
  </si>
  <si>
    <t>10</t>
  </si>
  <si>
    <t>11</t>
  </si>
  <si>
    <t>12</t>
  </si>
  <si>
    <t>13</t>
  </si>
  <si>
    <t>14</t>
  </si>
  <si>
    <t>15</t>
  </si>
  <si>
    <t>16</t>
  </si>
  <si>
    <t>غير سوري</t>
  </si>
  <si>
    <t>رقم الإيقاف</t>
  </si>
  <si>
    <t>تدوير الرسوم</t>
  </si>
  <si>
    <t>الفلسطينية</t>
  </si>
  <si>
    <t>الإيرانية</t>
  </si>
  <si>
    <t>المصرية</t>
  </si>
  <si>
    <t>المغربية</t>
  </si>
  <si>
    <t>الأفغانية</t>
  </si>
  <si>
    <t>التركية</t>
  </si>
  <si>
    <t>سلوفاكية</t>
  </si>
  <si>
    <t>رقم الطالب:</t>
  </si>
  <si>
    <t>السنة:</t>
  </si>
  <si>
    <t>الجنس:</t>
  </si>
  <si>
    <t>تاريخ الميلاد:</t>
  </si>
  <si>
    <t>مكان الميلاد:</t>
  </si>
  <si>
    <t>الجنسية:</t>
  </si>
  <si>
    <t>الرقم الوطني:</t>
  </si>
  <si>
    <t>مكان ورقم القيد:</t>
  </si>
  <si>
    <t>المحافظة الدائمة:</t>
  </si>
  <si>
    <t>شعبة التجنيد:</t>
  </si>
  <si>
    <t>نوع الثانوية:</t>
  </si>
  <si>
    <t>محافظتها:</t>
  </si>
  <si>
    <t>عامها:</t>
  </si>
  <si>
    <t>الموبايل:</t>
  </si>
  <si>
    <t>الهاتف:</t>
  </si>
  <si>
    <t>الرسوم المدورة</t>
  </si>
  <si>
    <t>الرسوم</t>
  </si>
  <si>
    <t>البيانات باللغة الإنكليزية</t>
  </si>
  <si>
    <t>رسم فصل الانقطاع</t>
  </si>
  <si>
    <t>رسم تسجيل سنوي</t>
  </si>
  <si>
    <t>الجزائرية</t>
  </si>
  <si>
    <t>السودانية</t>
  </si>
  <si>
    <r>
      <t xml:space="preserve">ثم تسليم استمارة التسجيل مع إيصال المصرف إلى شؤون طلاب الإعلام - كلية الإعلام - الطابق الثالثة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</si>
  <si>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الفصل الأول 2021-2022</t>
  </si>
  <si>
    <t>الاستنفاذ</t>
  </si>
  <si>
    <t>الفصل الثاني 2021-2022</t>
  </si>
  <si>
    <t>النحو على مستوى الجملة (عربي )</t>
  </si>
  <si>
    <t>القراءة والفهم ENG (1)</t>
  </si>
  <si>
    <t>النحو ENG (1)</t>
  </si>
  <si>
    <t>الترجمة الى العربية (1)</t>
  </si>
  <si>
    <t>مادة ثقافية (1)</t>
  </si>
  <si>
    <t>النحو على مستوى النص (عربي )</t>
  </si>
  <si>
    <t>النحو ENG (2)</t>
  </si>
  <si>
    <t>القراءة والفهم ENG (2)</t>
  </si>
  <si>
    <t>الترجمة الى العربية (2)</t>
  </si>
  <si>
    <t>مادة ثقافية (2)</t>
  </si>
  <si>
    <t>قراءة وتعبير (لغة عربية )(1)</t>
  </si>
  <si>
    <t>القراءة والفهم ENG (3)</t>
  </si>
  <si>
    <t>مقال ENG</t>
  </si>
  <si>
    <t>الترجمة من والى العربية (1)</t>
  </si>
  <si>
    <t xml:space="preserve">علم الترجمة  ENG </t>
  </si>
  <si>
    <t>قراءة وتعبير (لغة عربية )(2)</t>
  </si>
  <si>
    <t>مقال وقراءة وفهم ENG</t>
  </si>
  <si>
    <t xml:space="preserve">علم الصوتيات </t>
  </si>
  <si>
    <t>الترجمة من والى العربية (2)</t>
  </si>
  <si>
    <t xml:space="preserve">معاجم </t>
  </si>
  <si>
    <t xml:space="preserve">تدريبات في الاستماع والمناقشة باللغة العربية </t>
  </si>
  <si>
    <t>تدريبات في الاستماع والتعبير الشفوي ENG</t>
  </si>
  <si>
    <t xml:space="preserve">نصوص أدبية بالإنكليزية (1) </t>
  </si>
  <si>
    <t>ترجمة تتبعيه ومنظورة (1)</t>
  </si>
  <si>
    <t>نصوص ومصطلحات علمية باللغة الانكليزية</t>
  </si>
  <si>
    <t xml:space="preserve">تدريبات في كتابة المقال باللغة العربية </t>
  </si>
  <si>
    <t>المقال  ENG (1)</t>
  </si>
  <si>
    <t xml:space="preserve">لغويات مقارنة </t>
  </si>
  <si>
    <t xml:space="preserve">ترجمة تحريرية من والى العربية </t>
  </si>
  <si>
    <t>ترجمة فورية (1)(تدريب عملي )</t>
  </si>
  <si>
    <t>نصوص من الادب العربي المعاصر (1)</t>
  </si>
  <si>
    <t xml:space="preserve">علم اللغة (التراكيب والدلالة )باللغة الانكليزية </t>
  </si>
  <si>
    <t>نصوص أدبية بالإنكليزية (2)</t>
  </si>
  <si>
    <t>ترجمة تتبعيه ومنظورة (2)</t>
  </si>
  <si>
    <t xml:space="preserve">نصوص ومصطلحات سياسية باللغة الانكليزية  </t>
  </si>
  <si>
    <t>نصوص من الادب العربي المعاصر (2)</t>
  </si>
  <si>
    <t>المقال  ENG (2)</t>
  </si>
  <si>
    <t xml:space="preserve">مقدمة في تحليل النصوص بالإنكليزية </t>
  </si>
  <si>
    <t xml:space="preserve">ترجمة ادبية من والى العربية </t>
  </si>
  <si>
    <t>ترجمة فورية (2)(تدريب عملي )</t>
  </si>
  <si>
    <t>النحو على مستوى الجملة (عربي)</t>
  </si>
  <si>
    <t>القراءة والفهم  ENG 1</t>
  </si>
  <si>
    <t xml:space="preserve">النحو ENG </t>
  </si>
  <si>
    <t xml:space="preserve">مادة ثقافية </t>
  </si>
  <si>
    <t xml:space="preserve">النحو   2ENG  </t>
  </si>
  <si>
    <t>القراءة والفهم   2ENG</t>
  </si>
  <si>
    <t xml:space="preserve">القراءة والفهم  3ENG   </t>
  </si>
  <si>
    <t>مقال   ENG</t>
  </si>
  <si>
    <t>الترجمة من والى العربية (3)</t>
  </si>
  <si>
    <t>قراءة وتعبير (لغة عربية )</t>
  </si>
  <si>
    <t xml:space="preserve">الترجمة من والى العربية </t>
  </si>
  <si>
    <t xml:space="preserve">تدريبات في الاستماع والمناقشة بالغة العربية </t>
  </si>
  <si>
    <t xml:space="preserve">نصوص ادبية بلانكليزية </t>
  </si>
  <si>
    <t xml:space="preserve">ترجمة تتبعية ومنظورة </t>
  </si>
  <si>
    <t xml:space="preserve">نصوص ومصطلحات علمية باللغة الانكليزية </t>
  </si>
  <si>
    <t xml:space="preserve">نصوص من الادب العربي المعاصر </t>
  </si>
  <si>
    <t xml:space="preserve">نصوص ادبية بالانكليزية </t>
  </si>
  <si>
    <t xml:space="preserve">نصوص ومصطلحات سياسية باللغة الانكليزية </t>
  </si>
  <si>
    <t>المقال  ENG</t>
  </si>
  <si>
    <t xml:space="preserve">لغويات  مقارنة </t>
  </si>
  <si>
    <t>ترجمة فورية  1(تدريب عملي )</t>
  </si>
  <si>
    <t xml:space="preserve">مقدمة في تحليل النصوص بالانكليزية </t>
  </si>
  <si>
    <t>ترجمة فورية 2(تدريب عملي )</t>
  </si>
  <si>
    <t>الفصل الأول 2022-2023</t>
  </si>
  <si>
    <t>الفصل الثاني 2022-2023</t>
  </si>
  <si>
    <t>إرسال ملف الإستمارة (Excel ) عبر البريد الإلكتروني إلى العنوان التالي :
traopenlearning117@ hotmail.com 
ويجب أن يكون موضوع الإيميل هو الرقم الإمتحاني للطالب</t>
  </si>
  <si>
    <t>الفصل الأول 2024-2023</t>
  </si>
  <si>
    <t>الفصل الثاني2024-2023</t>
  </si>
  <si>
    <t xml:space="preserve">          اسم الطالب</t>
  </si>
  <si>
    <t>إستمارة برنامج الترجمة للفصل الاول للعام الدراسي 2025/2024</t>
  </si>
  <si>
    <t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</si>
</sst>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102" x14ac:knownFonts="1">
    <font>
      <sz val="11"/>
      <color theme="1"/>
      <name val="Arial"/>
      <family val="2"/>
      <scheme val="minor"/>
    </font>
    <font>
      <b/>
      <sz val="10"/>
      <name val="Arial"/>
      <family val="2"/>
    </font>
    <font>
      <b/>
      <sz val="16"/>
      <name val="Arial"/>
      <family val="2"/>
    </font>
    <font>
      <b/>
      <sz val="12"/>
      <name val="Arial"/>
      <family val="2"/>
    </font>
    <font>
      <b/>
      <sz val="11"/>
      <name val="Arial"/>
      <family val="2"/>
    </font>
    <font>
      <sz val="11"/>
      <name val="Arial"/>
      <family val="2"/>
    </font>
    <font>
      <sz val="12"/>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sz val="11"/>
      <name val="Arial"/>
      <family val="2"/>
      <scheme val="minor"/>
    </font>
    <font>
      <b/>
      <sz val="14"/>
      <color theme="0"/>
      <name val="Arial"/>
      <family val="2"/>
      <scheme val="minor"/>
    </font>
    <font>
      <b/>
      <sz val="14"/>
      <color theme="8" tint="-0.249977111117893"/>
      <name val="Arial"/>
      <family val="2"/>
      <scheme val="minor"/>
    </font>
    <font>
      <b/>
      <sz val="16"/>
      <color theme="1"/>
      <name val="Arial"/>
      <family val="2"/>
      <scheme val="minor"/>
    </font>
    <font>
      <sz val="14"/>
      <color theme="10"/>
      <name val="Arial"/>
      <family val="2"/>
    </font>
    <font>
      <b/>
      <sz val="14"/>
      <color theme="7" tint="0.59999389629810485"/>
      <name val="Arial"/>
      <family val="2"/>
      <scheme val="minor"/>
    </font>
    <font>
      <b/>
      <u/>
      <sz val="12"/>
      <color theme="10"/>
      <name val="Arial"/>
      <family val="2"/>
    </font>
    <font>
      <b/>
      <sz val="14"/>
      <name val="Arial"/>
      <family val="2"/>
      <scheme val="minor"/>
    </font>
    <font>
      <b/>
      <sz val="12"/>
      <color theme="0"/>
      <name val="Arial"/>
      <family val="2"/>
    </font>
    <font>
      <b/>
      <sz val="16"/>
      <color theme="0"/>
      <name val="Arial"/>
      <family val="2"/>
      <scheme val="minor"/>
    </font>
    <font>
      <b/>
      <sz val="10"/>
      <color theme="0"/>
      <name val="Arial"/>
      <family val="2"/>
    </font>
    <font>
      <b/>
      <sz val="8"/>
      <name val="Arial"/>
      <family val="2"/>
    </font>
    <font>
      <sz val="8"/>
      <name val="Arial"/>
      <family val="2"/>
      <scheme val="minor"/>
    </font>
    <font>
      <sz val="11"/>
      <color theme="5" tint="0.59999389629810485"/>
      <name val="Arial"/>
      <family val="2"/>
      <scheme val="minor"/>
    </font>
    <font>
      <b/>
      <sz val="12"/>
      <color rgb="FFFF0000"/>
      <name val="Sakkal Majalla"/>
    </font>
    <font>
      <sz val="8"/>
      <name val="Arial"/>
      <family val="2"/>
    </font>
    <font>
      <b/>
      <sz val="12"/>
      <color theme="1"/>
      <name val="Sakkal Majalla"/>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1"/>
      <color theme="0"/>
      <name val="Arial"/>
      <family val="2"/>
      <scheme val="minor"/>
    </font>
    <font>
      <b/>
      <sz val="16"/>
      <color theme="4" tint="-0.249977111117893"/>
      <name val="Arial"/>
      <family val="2"/>
      <scheme val="minor"/>
    </font>
    <font>
      <b/>
      <sz val="12"/>
      <color theme="0"/>
      <name val="Arial"/>
      <family val="2"/>
      <scheme val="minor"/>
    </font>
    <font>
      <b/>
      <sz val="12"/>
      <color theme="0"/>
      <name val="Sakkal Majalla"/>
    </font>
    <font>
      <b/>
      <sz val="12"/>
      <color rgb="FF002060"/>
      <name val="Arial"/>
      <family val="2"/>
      <scheme val="minor"/>
    </font>
    <font>
      <b/>
      <sz val="16"/>
      <color rgb="FF002060"/>
      <name val="Arial"/>
      <family val="2"/>
      <scheme val="minor"/>
    </font>
    <font>
      <sz val="12"/>
      <name val="Arial"/>
      <family val="2"/>
      <charset val="178"/>
    </font>
    <font>
      <sz val="12"/>
      <color rgb="FFFF0000"/>
      <name val="Arial"/>
      <family val="2"/>
      <charset val="178"/>
      <scheme val="minor"/>
    </font>
    <font>
      <b/>
      <sz val="16"/>
      <color theme="1"/>
      <name val="Arial"/>
      <family val="2"/>
    </font>
    <font>
      <sz val="20"/>
      <color theme="1"/>
      <name val="Arial"/>
      <family val="2"/>
    </font>
    <font>
      <sz val="11"/>
      <color theme="1"/>
      <name val="Arial"/>
      <family val="2"/>
    </font>
    <font>
      <b/>
      <sz val="10"/>
      <color theme="1"/>
      <name val="Arial"/>
      <family val="2"/>
    </font>
    <font>
      <sz val="10"/>
      <color theme="1"/>
      <name val="Arial"/>
      <family val="2"/>
    </font>
    <font>
      <sz val="10"/>
      <color rgb="FF002060"/>
      <name val="Arial"/>
      <family val="2"/>
    </font>
    <font>
      <b/>
      <sz val="12"/>
      <name val="Sakkal Majalla"/>
    </font>
    <font>
      <b/>
      <sz val="16"/>
      <color theme="0"/>
      <name val="Sakkal Majalla"/>
    </font>
    <font>
      <sz val="14"/>
      <name val="Sakkal Majalla"/>
    </font>
    <font>
      <sz val="14"/>
      <color rgb="FFFF0000"/>
      <name val="Sakkal Majalla"/>
    </font>
    <font>
      <sz val="12"/>
      <color theme="0"/>
      <name val="Arial"/>
      <family val="2"/>
      <charset val="178"/>
    </font>
    <font>
      <u/>
      <sz val="12"/>
      <name val="Arial"/>
      <family val="2"/>
      <charset val="178"/>
    </font>
    <font>
      <sz val="12"/>
      <color theme="1"/>
      <name val="Arial"/>
      <family val="2"/>
      <charset val="178"/>
      <scheme val="minor"/>
    </font>
    <font>
      <sz val="14"/>
      <name val="Arial"/>
      <family val="2"/>
      <charset val="178"/>
    </font>
    <font>
      <sz val="12"/>
      <color theme="0"/>
      <name val="Arial"/>
      <family val="2"/>
      <charset val="178"/>
      <scheme val="minor"/>
    </font>
    <font>
      <sz val="12"/>
      <color theme="0"/>
      <name val="Sakkal Majalla"/>
    </font>
    <font>
      <u/>
      <sz val="12"/>
      <color rgb="FF0070C0"/>
      <name val="Arial"/>
      <family val="2"/>
      <charset val="178"/>
    </font>
    <font>
      <sz val="12"/>
      <color rgb="FFFF0000"/>
      <name val="Arial"/>
      <family val="2"/>
      <charset val="178"/>
    </font>
    <font>
      <sz val="12"/>
      <color rgb="FFFF0000"/>
      <name val="Arial"/>
      <family val="2"/>
      <scheme val="minor"/>
    </font>
    <font>
      <sz val="10"/>
      <color theme="0"/>
      <name val="Arial"/>
      <family val="2"/>
    </font>
    <font>
      <sz val="9"/>
      <color theme="1"/>
      <name val="Arial"/>
      <family val="2"/>
    </font>
    <font>
      <sz val="9"/>
      <name val="Arial"/>
      <family val="2"/>
    </font>
    <font>
      <sz val="9"/>
      <color rgb="FF0070C0"/>
      <name val="Arial"/>
      <family val="2"/>
    </font>
    <font>
      <b/>
      <sz val="14"/>
      <name val="Arial"/>
      <family val="2"/>
    </font>
    <font>
      <sz val="14"/>
      <name val="Arial"/>
      <family val="2"/>
    </font>
    <font>
      <sz val="10"/>
      <color indexed="8"/>
      <name val="Arial"/>
      <family val="2"/>
    </font>
    <font>
      <b/>
      <sz val="11"/>
      <color theme="0"/>
      <name val="Arial"/>
      <family val="2"/>
    </font>
    <font>
      <b/>
      <sz val="8"/>
      <color theme="0"/>
      <name val="Arial"/>
      <family val="2"/>
    </font>
    <font>
      <sz val="8"/>
      <color theme="0"/>
      <name val="Arial"/>
      <family val="2"/>
      <scheme val="minor"/>
    </font>
    <font>
      <sz val="11"/>
      <color theme="1"/>
      <name val="Arial"/>
      <family val="2"/>
      <charset val="178"/>
    </font>
    <font>
      <sz val="11"/>
      <color theme="1"/>
      <name val="Arial"/>
      <family val="2"/>
      <scheme val="minor"/>
    </font>
    <font>
      <sz val="12"/>
      <color theme="1"/>
      <name val="Sakkal Majalla"/>
    </font>
    <font>
      <b/>
      <sz val="18"/>
      <color theme="0"/>
      <name val="Arial"/>
      <family val="2"/>
      <scheme val="minor"/>
    </font>
    <font>
      <sz val="16"/>
      <color theme="0"/>
      <name val="Arial"/>
      <family val="2"/>
      <scheme val="minor"/>
    </font>
  </fonts>
  <fills count="28">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8"/>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rgb="FF3855A6"/>
        <bgColor indexed="64"/>
      </patternFill>
    </fill>
    <fill>
      <patternFill patternType="solid">
        <fgColor rgb="FFC00000"/>
        <bgColor indexed="64"/>
      </patternFill>
    </fill>
    <fill>
      <patternFill patternType="solid">
        <fgColor theme="9" tint="0.39997558519241921"/>
        <bgColor indexed="64"/>
      </patternFill>
    </fill>
    <fill>
      <patternFill patternType="solid">
        <fgColor theme="7" tint="0.39997558519241921"/>
        <bgColor indexed="64"/>
      </patternFill>
    </fill>
  </fills>
  <borders count="159">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style="thick">
        <color theme="0"/>
      </right>
      <top/>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style="thick">
        <color theme="0"/>
      </left>
      <right/>
      <top style="medium">
        <color indexed="64"/>
      </top>
      <bottom style="medium">
        <color indexed="64"/>
      </bottom>
      <diagonal/>
    </border>
    <border>
      <left/>
      <right/>
      <top/>
      <bottom style="medium">
        <color theme="0"/>
      </bottom>
      <diagonal/>
    </border>
    <border>
      <left/>
      <right/>
      <top style="medium">
        <color theme="0"/>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bottom style="thin">
        <color indexed="64"/>
      </bottom>
      <diagonal/>
    </border>
    <border>
      <left/>
      <right style="thin">
        <color indexed="64"/>
      </right>
      <top/>
      <bottom/>
      <diagonal/>
    </border>
    <border>
      <left/>
      <right/>
      <top style="thin">
        <color theme="0"/>
      </top>
      <bottom style="thin">
        <color theme="0"/>
      </bottom>
      <diagonal/>
    </border>
    <border>
      <left style="thick">
        <color theme="0"/>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right style="dashed">
        <color indexed="64"/>
      </right>
      <top/>
      <bottom style="medium">
        <color indexed="64"/>
      </bottom>
      <diagonal/>
    </border>
    <border>
      <left style="dashed">
        <color indexed="64"/>
      </left>
      <right/>
      <top/>
      <bottom style="medium">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style="thin">
        <color indexed="64"/>
      </top>
      <bottom/>
      <diagonal/>
    </border>
    <border>
      <left/>
      <right style="medium">
        <color indexed="64"/>
      </right>
      <top style="thin">
        <color indexed="64"/>
      </top>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style="thick">
        <color auto="1"/>
      </left>
      <right/>
      <top/>
      <bottom/>
      <diagonal/>
    </border>
    <border>
      <left/>
      <right style="thick">
        <color auto="1"/>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top/>
      <bottom style="medium">
        <color auto="1"/>
      </bottom>
      <diagonal/>
    </border>
    <border>
      <left/>
      <right style="double">
        <color auto="1"/>
      </right>
      <top/>
      <bottom style="medium">
        <color auto="1"/>
      </bottom>
      <diagonal/>
    </border>
    <border>
      <left/>
      <right style="thick">
        <color auto="1"/>
      </right>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medium">
        <color auto="1"/>
      </top>
      <bottom style="thin">
        <color auto="1"/>
      </bottom>
      <diagonal/>
    </border>
    <border>
      <left/>
      <right style="mediumDashDot">
        <color auto="1"/>
      </right>
      <top style="medium">
        <color auto="1"/>
      </top>
      <bottom style="thin">
        <color auto="1"/>
      </bottom>
      <diagonal/>
    </border>
    <border>
      <left style="mediumDashDot">
        <color indexed="64"/>
      </left>
      <right/>
      <top style="medium">
        <color indexed="64"/>
      </top>
      <bottom style="thin">
        <color indexed="64"/>
      </bottom>
      <diagonal/>
    </border>
    <border>
      <left/>
      <right style="double">
        <color auto="1"/>
      </right>
      <top style="medium">
        <color indexed="64"/>
      </top>
      <bottom style="thin">
        <color indexed="64"/>
      </bottom>
      <diagonal/>
    </border>
    <border>
      <left/>
      <right style="thick">
        <color auto="1"/>
      </right>
      <top style="medium">
        <color indexed="64"/>
      </top>
      <bottom style="thin">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double">
        <color indexed="64"/>
      </top>
      <bottom style="dashed">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1" fillId="0" borderId="0" applyNumberFormat="0" applyFill="0" applyBorder="0" applyAlignment="0" applyProtection="0"/>
    <xf numFmtId="0" fontId="7" fillId="0" borderId="0"/>
    <xf numFmtId="0" fontId="8" fillId="0" borderId="0"/>
    <xf numFmtId="0" fontId="98" fillId="0" borderId="0"/>
    <xf numFmtId="0" fontId="93" fillId="0" borderId="0"/>
  </cellStyleXfs>
  <cellXfs count="580">
    <xf numFmtId="0" fontId="0" fillId="0" borderId="0" xfId="0"/>
    <xf numFmtId="0" fontId="0" fillId="0" borderId="0" xfId="0" applyProtection="1">
      <protection hidden="1"/>
    </xf>
    <xf numFmtId="0" fontId="2" fillId="0" borderId="0" xfId="0" applyFont="1" applyProtection="1">
      <protection hidden="1"/>
    </xf>
    <xf numFmtId="0" fontId="12" fillId="0" borderId="0" xfId="0" applyFont="1" applyProtection="1">
      <protection hidden="1"/>
    </xf>
    <xf numFmtId="0" fontId="13" fillId="0" borderId="0" xfId="0" applyFont="1" applyAlignment="1" applyProtection="1">
      <alignment horizontal="center" vertical="center"/>
      <protection hidden="1"/>
    </xf>
    <xf numFmtId="0" fontId="13" fillId="0" borderId="0" xfId="0" applyFont="1" applyProtection="1">
      <protection hidden="1"/>
    </xf>
    <xf numFmtId="0" fontId="13" fillId="0" borderId="0" xfId="0" applyFont="1" applyAlignment="1" applyProtection="1">
      <alignment horizont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protection hidden="1"/>
    </xf>
    <xf numFmtId="0" fontId="16" fillId="0" borderId="0" xfId="1" applyFont="1" applyFill="1" applyBorder="1" applyProtection="1">
      <protection hidden="1"/>
    </xf>
    <xf numFmtId="0" fontId="13" fillId="0" borderId="0" xfId="0" applyFont="1" applyAlignment="1" applyProtection="1">
      <alignment horizontal="center" vertical="center" wrapText="1"/>
      <protection hidden="1"/>
    </xf>
    <xf numFmtId="0" fontId="17" fillId="0" borderId="0" xfId="0" applyFont="1" applyAlignment="1" applyProtection="1">
      <alignment vertical="center"/>
      <protection hidden="1"/>
    </xf>
    <xf numFmtId="0" fontId="18" fillId="0" borderId="0" xfId="0" applyFont="1" applyAlignment="1" applyProtection="1">
      <alignment vertical="center"/>
      <protection hidden="1"/>
    </xf>
    <xf numFmtId="0" fontId="19" fillId="0" borderId="0" xfId="0" applyFont="1" applyAlignment="1" applyProtection="1">
      <alignment vertical="center"/>
      <protection hidden="1"/>
    </xf>
    <xf numFmtId="0" fontId="19" fillId="0" borderId="0" xfId="0" applyFont="1" applyAlignment="1" applyProtection="1">
      <alignment vertical="center" shrinkToFit="1"/>
      <protection hidden="1"/>
    </xf>
    <xf numFmtId="0" fontId="19" fillId="0" borderId="0" xfId="0" applyFont="1" applyAlignment="1" applyProtection="1">
      <alignment horizontal="center" vertical="center"/>
      <protection hidden="1"/>
    </xf>
    <xf numFmtId="0" fontId="19" fillId="0" borderId="0" xfId="0" applyFont="1" applyAlignment="1" applyProtection="1">
      <alignment horizontal="right"/>
      <protection hidden="1"/>
    </xf>
    <xf numFmtId="0" fontId="19" fillId="0" borderId="0" xfId="0" applyFont="1" applyAlignment="1" applyProtection="1">
      <alignment horizontal="center"/>
      <protection hidden="1"/>
    </xf>
    <xf numFmtId="0" fontId="20" fillId="0" borderId="0" xfId="0" applyFont="1" applyAlignment="1" applyProtection="1">
      <alignment horizontal="center"/>
      <protection hidden="1"/>
    </xf>
    <xf numFmtId="0" fontId="19" fillId="0" borderId="0" xfId="0" applyFont="1" applyProtection="1">
      <protection hidden="1"/>
    </xf>
    <xf numFmtId="0" fontId="13" fillId="0" borderId="0" xfId="0" applyFont="1" applyAlignment="1" applyProtection="1">
      <alignment horizontal="right"/>
      <protection hidden="1"/>
    </xf>
    <xf numFmtId="0" fontId="21" fillId="0" borderId="0" xfId="0" applyFont="1" applyProtection="1">
      <protection hidden="1"/>
    </xf>
    <xf numFmtId="0" fontId="21" fillId="0" borderId="0" xfId="0" applyFont="1" applyAlignment="1" applyProtection="1">
      <alignment vertical="center" textRotation="90"/>
      <protection hidden="1"/>
    </xf>
    <xf numFmtId="0" fontId="21"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22" fillId="0" borderId="0" xfId="0" applyFont="1" applyAlignment="1" applyProtection="1">
      <alignment shrinkToFit="1"/>
      <protection hidden="1"/>
    </xf>
    <xf numFmtId="0" fontId="23" fillId="0" borderId="0" xfId="0" applyFont="1" applyProtection="1">
      <protection hidden="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3" borderId="1" xfId="0" applyFill="1" applyBorder="1" applyAlignment="1">
      <alignment horizontal="center" vertical="center"/>
    </xf>
    <xf numFmtId="0" fontId="12" fillId="0" borderId="0" xfId="0" applyFont="1"/>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10" fillId="6" borderId="8" xfId="0" applyFont="1" applyFill="1" applyBorder="1" applyAlignment="1">
      <alignment horizontal="center" vertical="center"/>
    </xf>
    <xf numFmtId="0" fontId="24" fillId="0" borderId="0" xfId="0" applyFont="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25" fillId="0" borderId="29" xfId="0" applyFont="1" applyBorder="1" applyAlignment="1">
      <alignment horizontal="center" vertical="center"/>
    </xf>
    <xf numFmtId="0" fontId="25" fillId="0" borderId="0" xfId="0" applyFont="1" applyAlignment="1">
      <alignment horizontal="center" vertical="center"/>
    </xf>
    <xf numFmtId="0" fontId="0" fillId="0" borderId="30" xfId="0" applyBorder="1" applyAlignment="1">
      <alignment vertical="center"/>
    </xf>
    <xf numFmtId="0" fontId="4" fillId="5" borderId="0" xfId="0" applyFont="1" applyFill="1" applyAlignment="1" applyProtection="1">
      <alignment horizontal="center" vertical="center"/>
      <protection hidden="1"/>
    </xf>
    <xf numFmtId="0" fontId="0" fillId="6" borderId="0" xfId="0" applyFill="1" applyAlignment="1">
      <alignment vertical="center"/>
    </xf>
    <xf numFmtId="0" fontId="0" fillId="0" borderId="0" xfId="0" applyAlignment="1" applyProtection="1">
      <alignment horizontal="center" vertical="center"/>
      <protection hidden="1"/>
    </xf>
    <xf numFmtId="0" fontId="4" fillId="6" borderId="0" xfId="0" applyFont="1" applyFill="1" applyAlignment="1" applyProtection="1">
      <alignment horizontal="center" vertical="center" textRotation="90"/>
      <protection hidden="1"/>
    </xf>
    <xf numFmtId="0" fontId="10" fillId="0" borderId="0" xfId="0" applyFont="1" applyProtection="1">
      <protection hidden="1"/>
    </xf>
    <xf numFmtId="0" fontId="0" fillId="0" borderId="0" xfId="0" applyAlignment="1">
      <alignment horizontal="center" vertical="center"/>
    </xf>
    <xf numFmtId="0" fontId="4" fillId="3" borderId="0" xfId="0" applyFont="1" applyFill="1" applyAlignment="1" applyProtection="1">
      <alignment horizontal="center" vertical="center"/>
      <protection hidden="1"/>
    </xf>
    <xf numFmtId="0" fontId="0" fillId="0" borderId="39" xfId="0" applyBorder="1" applyAlignment="1">
      <alignment vertical="center"/>
    </xf>
    <xf numFmtId="0" fontId="4" fillId="3" borderId="17" xfId="0" applyFont="1" applyFill="1" applyBorder="1" applyAlignment="1" applyProtection="1">
      <alignment vertical="center"/>
      <protection hidden="1"/>
    </xf>
    <xf numFmtId="0" fontId="4" fillId="3" borderId="0" xfId="0" applyFont="1" applyFill="1" applyAlignment="1" applyProtection="1">
      <alignment vertical="center"/>
      <protection hidden="1"/>
    </xf>
    <xf numFmtId="0" fontId="29" fillId="0" borderId="0" xfId="0" applyFont="1"/>
    <xf numFmtId="0" fontId="4" fillId="0" borderId="0" xfId="0" applyFont="1" applyAlignment="1" applyProtection="1">
      <alignment vertical="center"/>
      <protection hidden="1"/>
    </xf>
    <xf numFmtId="0" fontId="41" fillId="0" borderId="0" xfId="0" applyFont="1"/>
    <xf numFmtId="0" fontId="42" fillId="6" borderId="17" xfId="0" applyFont="1" applyFill="1" applyBorder="1" applyAlignment="1">
      <alignment vertical="center"/>
    </xf>
    <xf numFmtId="0" fontId="10" fillId="0" borderId="30" xfId="0" applyFont="1" applyBorder="1" applyAlignment="1">
      <alignment vertical="center"/>
    </xf>
    <xf numFmtId="0" fontId="3" fillId="0" borderId="0" xfId="0" applyFont="1" applyAlignment="1" applyProtection="1">
      <alignment horizontal="center" vertical="center"/>
      <protection hidden="1"/>
    </xf>
    <xf numFmtId="0" fontId="24" fillId="0" borderId="0" xfId="0" applyFont="1" applyAlignment="1">
      <alignment horizontal="center" vertical="center"/>
    </xf>
    <xf numFmtId="0" fontId="3" fillId="0" borderId="0" xfId="0" applyFont="1" applyAlignment="1" applyProtection="1">
      <alignment horizontal="center" vertical="center" textRotation="90"/>
      <protection hidden="1"/>
    </xf>
    <xf numFmtId="0" fontId="25" fillId="8" borderId="0" xfId="0" applyFont="1" applyFill="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1" fillId="6" borderId="55" xfId="0" applyFont="1" applyFill="1" applyBorder="1" applyAlignment="1" applyProtection="1">
      <alignment vertical="center" shrinkToFit="1"/>
      <protection hidden="1"/>
    </xf>
    <xf numFmtId="0" fontId="3" fillId="3" borderId="60"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62" xfId="0" applyFont="1" applyFill="1" applyBorder="1" applyAlignment="1" applyProtection="1">
      <alignment horizontal="center" vertical="center"/>
      <protection hidden="1"/>
    </xf>
    <xf numFmtId="0" fontId="3" fillId="3" borderId="63" xfId="0" applyFont="1" applyFill="1" applyBorder="1" applyAlignment="1" applyProtection="1">
      <alignment horizontal="center" vertical="center"/>
      <protection hidden="1"/>
    </xf>
    <xf numFmtId="0" fontId="47" fillId="0" borderId="0" xfId="0" applyFont="1"/>
    <xf numFmtId="0" fontId="50" fillId="0" borderId="0" xfId="0" applyFont="1" applyAlignment="1">
      <alignment horizontal="center"/>
    </xf>
    <xf numFmtId="0" fontId="50" fillId="0" borderId="0" xfId="0" applyFont="1"/>
    <xf numFmtId="0" fontId="53" fillId="12" borderId="79" xfId="1" applyFont="1" applyFill="1" applyBorder="1"/>
    <xf numFmtId="0" fontId="57" fillId="0" borderId="0" xfId="0" applyFont="1"/>
    <xf numFmtId="0" fontId="57" fillId="0" borderId="0" xfId="0" applyFont="1" applyAlignment="1">
      <alignment horizontal="center"/>
    </xf>
    <xf numFmtId="0" fontId="59" fillId="0" borderId="0" xfId="1" applyFont="1" applyFill="1" applyBorder="1" applyAlignment="1">
      <alignment vertical="center" wrapText="1"/>
    </xf>
    <xf numFmtId="0" fontId="59" fillId="0" borderId="0" xfId="1" applyFont="1" applyFill="1" applyAlignment="1"/>
    <xf numFmtId="0" fontId="29" fillId="11" borderId="0" xfId="0" applyFont="1" applyFill="1"/>
    <xf numFmtId="0" fontId="0" fillId="11" borderId="0" xfId="0" applyFill="1"/>
    <xf numFmtId="0" fontId="25" fillId="11" borderId="0" xfId="0" applyFont="1" applyFill="1"/>
    <xf numFmtId="0" fontId="25" fillId="11" borderId="0" xfId="0" applyFont="1" applyFill="1" applyAlignment="1" applyProtection="1">
      <alignment horizontal="center" vertical="center"/>
      <protection hidden="1"/>
    </xf>
    <xf numFmtId="0" fontId="10" fillId="0" borderId="16" xfId="0" applyFont="1" applyBorder="1" applyAlignment="1">
      <alignment vertical="center"/>
    </xf>
    <xf numFmtId="0" fontId="42" fillId="0" borderId="17" xfId="0" applyFont="1" applyBorder="1" applyAlignment="1">
      <alignment vertical="center"/>
    </xf>
    <xf numFmtId="0" fontId="0" fillId="0" borderId="16" xfId="0" applyBorder="1" applyAlignment="1">
      <alignment vertical="center"/>
    </xf>
    <xf numFmtId="0" fontId="10" fillId="0" borderId="17" xfId="0" applyFont="1" applyBorder="1" applyAlignment="1">
      <alignment vertical="center"/>
    </xf>
    <xf numFmtId="0" fontId="29" fillId="0" borderId="0" xfId="0" applyFont="1" applyProtection="1">
      <protection hidden="1"/>
    </xf>
    <xf numFmtId="0" fontId="0" fillId="0" borderId="0" xfId="0" applyAlignment="1" applyProtection="1">
      <alignment horizontal="center"/>
      <protection hidden="1"/>
    </xf>
    <xf numFmtId="0" fontId="24" fillId="7" borderId="10" xfId="0" applyFont="1" applyFill="1" applyBorder="1" applyAlignment="1">
      <alignment horizontal="center" vertical="center"/>
    </xf>
    <xf numFmtId="0" fontId="24" fillId="4" borderId="4" xfId="0" applyFont="1" applyFill="1" applyBorder="1" applyAlignment="1" applyProtection="1">
      <alignment horizontal="center" vertical="center"/>
      <protection hidden="1"/>
    </xf>
    <xf numFmtId="0" fontId="28" fillId="12" borderId="0" xfId="0" applyFont="1" applyFill="1" applyAlignment="1" applyProtection="1">
      <alignment vertical="center"/>
      <protection hidden="1"/>
    </xf>
    <xf numFmtId="0" fontId="55" fillId="21" borderId="99" xfId="0" applyFont="1" applyFill="1" applyBorder="1" applyAlignment="1" applyProtection="1">
      <alignment vertical="center"/>
      <protection hidden="1"/>
    </xf>
    <xf numFmtId="0" fontId="27" fillId="0" borderId="0" xfId="0" applyFont="1" applyAlignment="1" applyProtection="1">
      <alignment vertical="center"/>
      <protection hidden="1"/>
    </xf>
    <xf numFmtId="165" fontId="26" fillId="0" borderId="91" xfId="0" applyNumberFormat="1" applyFont="1" applyBorder="1" applyAlignment="1" applyProtection="1">
      <alignment vertical="center" shrinkToFit="1"/>
      <protection hidden="1"/>
    </xf>
    <xf numFmtId="0" fontId="0" fillId="0" borderId="91" xfId="0" applyBorder="1" applyProtection="1">
      <protection hidden="1"/>
    </xf>
    <xf numFmtId="0" fontId="62" fillId="0" borderId="91" xfId="0" applyFont="1" applyBorder="1" applyAlignment="1" applyProtection="1">
      <alignment vertical="center"/>
      <protection hidden="1"/>
    </xf>
    <xf numFmtId="165" fontId="64" fillId="0" borderId="91" xfId="0" applyNumberFormat="1" applyFont="1" applyBorder="1" applyAlignment="1" applyProtection="1">
      <alignment vertical="center" shrinkToFit="1"/>
      <protection hidden="1"/>
    </xf>
    <xf numFmtId="165" fontId="65" fillId="0" borderId="91" xfId="0" applyNumberFormat="1" applyFont="1" applyBorder="1" applyAlignment="1" applyProtection="1">
      <alignment vertical="center"/>
      <protection hidden="1"/>
    </xf>
    <xf numFmtId="165" fontId="25" fillId="0" borderId="91" xfId="0" applyNumberFormat="1" applyFont="1" applyBorder="1" applyAlignment="1" applyProtection="1">
      <alignment vertical="center" shrinkToFit="1"/>
      <protection hidden="1"/>
    </xf>
    <xf numFmtId="0" fontId="10" fillId="0" borderId="91" xfId="0" applyFont="1" applyBorder="1" applyAlignment="1" applyProtection="1">
      <alignment vertical="center"/>
      <protection hidden="1"/>
    </xf>
    <xf numFmtId="0" fontId="7" fillId="0" borderId="12" xfId="0" applyFont="1" applyBorder="1" applyAlignment="1" applyProtection="1">
      <alignment vertical="center" shrinkToFit="1"/>
      <protection hidden="1"/>
    </xf>
    <xf numFmtId="0" fontId="80" fillId="6" borderId="91" xfId="0" applyFont="1" applyFill="1" applyBorder="1" applyAlignment="1" applyProtection="1">
      <alignment horizontal="center" vertical="center" shrinkToFit="1"/>
      <protection hidden="1"/>
    </xf>
    <xf numFmtId="0" fontId="82" fillId="11" borderId="91" xfId="0" applyFont="1" applyFill="1" applyBorder="1" applyAlignment="1" applyProtection="1">
      <alignment horizontal="center" vertical="center" shrinkToFit="1"/>
      <protection hidden="1"/>
    </xf>
    <xf numFmtId="0" fontId="83" fillId="11" borderId="91" xfId="0" applyFont="1" applyFill="1" applyBorder="1" applyAlignment="1" applyProtection="1">
      <alignment horizontal="center" vertical="center" shrinkToFit="1"/>
      <protection hidden="1"/>
    </xf>
    <xf numFmtId="0" fontId="84" fillId="6" borderId="91" xfId="1" applyFont="1" applyFill="1" applyBorder="1" applyAlignment="1" applyProtection="1">
      <alignment horizontal="center" vertical="center" shrinkToFit="1"/>
      <protection hidden="1"/>
    </xf>
    <xf numFmtId="0" fontId="78" fillId="11" borderId="91" xfId="0" applyFont="1" applyFill="1" applyBorder="1" applyAlignment="1" applyProtection="1">
      <alignment horizontal="center" vertical="center" shrinkToFit="1"/>
      <protection hidden="1"/>
    </xf>
    <xf numFmtId="0" fontId="85" fillId="6" borderId="91" xfId="0" applyFont="1" applyFill="1" applyBorder="1" applyAlignment="1" applyProtection="1">
      <alignment horizontal="center" vertical="center" shrinkToFit="1"/>
      <protection hidden="1"/>
    </xf>
    <xf numFmtId="49" fontId="66" fillId="3" borderId="91" xfId="0" applyNumberFormat="1" applyFont="1" applyFill="1" applyBorder="1" applyAlignment="1" applyProtection="1">
      <alignment horizontal="center" vertical="center" shrinkToFit="1"/>
      <protection hidden="1"/>
    </xf>
    <xf numFmtId="164" fontId="66" fillId="3" borderId="91" xfId="0" applyNumberFormat="1" applyFont="1" applyFill="1" applyBorder="1" applyAlignment="1" applyProtection="1">
      <alignment horizontal="center" vertical="center" shrinkToFit="1"/>
      <protection hidden="1"/>
    </xf>
    <xf numFmtId="0" fontId="82" fillId="0" borderId="91" xfId="0" applyFont="1" applyBorder="1" applyAlignment="1" applyProtection="1">
      <alignment horizontal="center" vertical="center" shrinkToFit="1"/>
      <protection hidden="1"/>
    </xf>
    <xf numFmtId="14" fontId="67" fillId="0" borderId="91" xfId="0" applyNumberFormat="1" applyFont="1" applyBorder="1" applyAlignment="1" applyProtection="1">
      <alignment horizontal="center" vertical="center" shrinkToFit="1"/>
      <protection hidden="1"/>
    </xf>
    <xf numFmtId="0" fontId="66" fillId="3" borderId="91" xfId="1" applyFont="1" applyFill="1" applyBorder="1" applyAlignment="1" applyProtection="1">
      <alignment vertical="center" shrinkToFit="1"/>
      <protection hidden="1"/>
    </xf>
    <xf numFmtId="0" fontId="0" fillId="3" borderId="1" xfId="0" applyFill="1" applyBorder="1" applyAlignment="1">
      <alignment horizontal="center" vertical="center" shrinkToFit="1"/>
    </xf>
    <xf numFmtId="0" fontId="26" fillId="0" borderId="91" xfId="0" applyFont="1" applyBorder="1" applyAlignment="1" applyProtection="1">
      <alignment vertical="center"/>
      <protection hidden="1"/>
    </xf>
    <xf numFmtId="0" fontId="78" fillId="24" borderId="91" xfId="0" applyFont="1" applyFill="1" applyBorder="1" applyAlignment="1" applyProtection="1">
      <alignment horizontal="center" vertical="center" shrinkToFit="1"/>
      <protection hidden="1"/>
    </xf>
    <xf numFmtId="0" fontId="66" fillId="3" borderId="91" xfId="1" applyFont="1" applyFill="1" applyBorder="1" applyAlignment="1" applyProtection="1">
      <alignment horizontal="center" vertical="center" shrinkToFit="1"/>
      <protection hidden="1"/>
    </xf>
    <xf numFmtId="0" fontId="78" fillId="12" borderId="91" xfId="0" applyFont="1" applyFill="1" applyBorder="1" applyAlignment="1" applyProtection="1">
      <alignment horizontal="center" vertical="center" shrinkToFit="1"/>
      <protection hidden="1"/>
    </xf>
    <xf numFmtId="0" fontId="3" fillId="5" borderId="6" xfId="0" applyFont="1" applyFill="1" applyBorder="1" applyAlignment="1">
      <alignment horizontal="center" vertical="center"/>
    </xf>
    <xf numFmtId="0" fontId="66" fillId="3" borderId="91" xfId="0" applyFont="1" applyFill="1" applyBorder="1" applyAlignment="1" applyProtection="1">
      <alignment horizontal="center" vertical="center" shrinkToFit="1"/>
      <protection hidden="1"/>
    </xf>
    <xf numFmtId="0" fontId="28" fillId="11" borderId="8" xfId="0" applyFont="1" applyFill="1" applyBorder="1" applyAlignment="1">
      <alignment horizontal="center" vertical="center"/>
    </xf>
    <xf numFmtId="0" fontId="7" fillId="3" borderId="12" xfId="0" applyFont="1" applyFill="1" applyBorder="1" applyAlignment="1" applyProtection="1">
      <alignment horizontal="center" vertical="center" shrinkToFit="1"/>
      <protection hidden="1"/>
    </xf>
    <xf numFmtId="0" fontId="72" fillId="0" borderId="12" xfId="0" applyFont="1" applyBorder="1" applyAlignment="1" applyProtection="1">
      <alignment horizontal="center" vertical="center" shrinkToFit="1"/>
      <protection hidden="1"/>
    </xf>
    <xf numFmtId="0" fontId="4" fillId="3" borderId="19" xfId="0" applyFont="1" applyFill="1" applyBorder="1" applyAlignment="1" applyProtection="1">
      <alignment horizontal="center" vertical="center" shrinkToFit="1"/>
      <protection hidden="1"/>
    </xf>
    <xf numFmtId="0" fontId="4" fillId="3" borderId="18" xfId="0" applyFont="1" applyFill="1" applyBorder="1" applyAlignment="1" applyProtection="1">
      <alignment horizontal="center" vertical="center" shrinkToFit="1"/>
      <protection hidden="1"/>
    </xf>
    <xf numFmtId="0" fontId="4" fillId="3" borderId="2" xfId="0" applyFont="1" applyFill="1" applyBorder="1" applyAlignment="1" applyProtection="1">
      <alignment horizontal="center" vertical="center" shrinkToFit="1"/>
      <protection hidden="1"/>
    </xf>
    <xf numFmtId="0" fontId="40" fillId="2" borderId="19" xfId="0" applyFont="1" applyFill="1" applyBorder="1" applyAlignment="1" applyProtection="1">
      <alignment horizontal="center" vertical="center" wrapText="1"/>
      <protection hidden="1"/>
    </xf>
    <xf numFmtId="0" fontId="72" fillId="0" borderId="0" xfId="0" applyFont="1" applyProtection="1">
      <protection hidden="1"/>
    </xf>
    <xf numFmtId="0" fontId="72" fillId="3" borderId="1" xfId="0" applyFont="1" applyFill="1" applyBorder="1" applyAlignment="1" applyProtection="1">
      <alignment horizontal="center" vertical="center"/>
      <protection hidden="1"/>
    </xf>
    <xf numFmtId="0" fontId="72" fillId="24" borderId="0" xfId="0" applyFont="1" applyFill="1" applyAlignment="1" applyProtection="1">
      <alignment horizontal="center" vertical="center"/>
      <protection hidden="1"/>
    </xf>
    <xf numFmtId="0" fontId="72" fillId="24" borderId="0" xfId="0" applyFont="1" applyFill="1" applyProtection="1">
      <protection hidden="1"/>
    </xf>
    <xf numFmtId="0" fontId="71" fillId="0" borderId="29" xfId="0" applyFont="1" applyBorder="1" applyAlignment="1" applyProtection="1">
      <alignment horizontal="center" vertical="center"/>
      <protection hidden="1"/>
    </xf>
    <xf numFmtId="0" fontId="71"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72" fillId="0" borderId="0" xfId="0" applyFont="1" applyAlignment="1" applyProtection="1">
      <alignment horizontal="center" vertical="center"/>
      <protection hidden="1"/>
    </xf>
    <xf numFmtId="0" fontId="1" fillId="2" borderId="19"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shrinkToFit="1"/>
      <protection hidden="1"/>
    </xf>
    <xf numFmtId="0" fontId="1" fillId="2" borderId="3"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 fillId="0" borderId="0" xfId="0" applyFont="1" applyAlignment="1" applyProtection="1">
      <alignment vertical="center" shrinkToFit="1"/>
      <protection hidden="1"/>
    </xf>
    <xf numFmtId="0" fontId="1" fillId="0" borderId="0" xfId="0" applyFont="1" applyAlignment="1" applyProtection="1">
      <alignment horizontal="center" vertical="center" shrinkToFit="1"/>
      <protection hidden="1"/>
    </xf>
    <xf numFmtId="0" fontId="87" fillId="0" borderId="0" xfId="0" applyFont="1" applyAlignment="1" applyProtection="1">
      <alignment horizontal="center" vertical="center"/>
      <protection hidden="1"/>
    </xf>
    <xf numFmtId="0" fontId="72" fillId="0" borderId="23" xfId="0" applyFont="1" applyBorder="1" applyAlignment="1" applyProtection="1">
      <alignment horizontal="center" vertical="center"/>
      <protection hidden="1"/>
    </xf>
    <xf numFmtId="0" fontId="72" fillId="0" borderId="52"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72" fillId="0" borderId="0" xfId="0" applyFont="1" applyAlignment="1" applyProtection="1">
      <alignment vertical="center"/>
      <protection hidden="1"/>
    </xf>
    <xf numFmtId="0" fontId="39" fillId="0" borderId="0" xfId="0" applyFont="1" applyAlignment="1" applyProtection="1">
      <alignment horizontal="center" vertical="center"/>
      <protection hidden="1"/>
    </xf>
    <xf numFmtId="0" fontId="72" fillId="0" borderId="0" xfId="0" applyFont="1" applyAlignment="1" applyProtection="1">
      <alignment vertical="center" wrapText="1"/>
      <protection hidden="1"/>
    </xf>
    <xf numFmtId="0" fontId="72" fillId="0" borderId="0" xfId="0" applyFont="1" applyAlignment="1" applyProtection="1">
      <alignment vertical="top" wrapText="1"/>
      <protection hidden="1"/>
    </xf>
    <xf numFmtId="0" fontId="89" fillId="0" borderId="14" xfId="0" applyFont="1" applyBorder="1" applyAlignment="1" applyProtection="1">
      <alignment horizontal="center" vertical="center" shrinkToFit="1"/>
      <protection hidden="1"/>
    </xf>
    <xf numFmtId="0" fontId="89" fillId="0" borderId="12" xfId="0" applyFont="1" applyBorder="1" applyAlignment="1" applyProtection="1">
      <alignment horizontal="right" vertical="center" shrinkToFit="1"/>
      <protection hidden="1"/>
    </xf>
    <xf numFmtId="0" fontId="89" fillId="0" borderId="12" xfId="0" applyFont="1" applyBorder="1" applyAlignment="1" applyProtection="1">
      <alignment horizontal="left" vertical="center" shrinkToFit="1"/>
      <protection hidden="1"/>
    </xf>
    <xf numFmtId="0" fontId="88" fillId="0" borderId="12" xfId="0" applyFont="1" applyBorder="1" applyAlignment="1" applyProtection="1">
      <alignment horizontal="right" vertical="center" shrinkToFit="1"/>
      <protection hidden="1"/>
    </xf>
    <xf numFmtId="0" fontId="88" fillId="0" borderId="13" xfId="0" applyFont="1" applyBorder="1" applyAlignment="1" applyProtection="1">
      <alignment horizontal="right" vertical="center" shrinkToFit="1"/>
      <protection hidden="1"/>
    </xf>
    <xf numFmtId="165" fontId="26" fillId="0" borderId="98" xfId="0" applyNumberFormat="1" applyFont="1" applyBorder="1" applyAlignment="1" applyProtection="1">
      <alignment vertical="center" shrinkToFit="1"/>
      <protection hidden="1"/>
    </xf>
    <xf numFmtId="0" fontId="26" fillId="0" borderId="98" xfId="0" applyFont="1" applyBorder="1" applyAlignment="1" applyProtection="1">
      <alignment vertical="center" shrinkToFit="1"/>
      <protection hidden="1"/>
    </xf>
    <xf numFmtId="0" fontId="14" fillId="24" borderId="0" xfId="0" applyFont="1" applyFill="1" applyProtection="1">
      <protection hidden="1"/>
    </xf>
    <xf numFmtId="0" fontId="7" fillId="0" borderId="18" xfId="0" applyFont="1" applyBorder="1" applyAlignment="1" applyProtection="1">
      <alignment horizontal="center" vertical="center"/>
      <protection hidden="1"/>
    </xf>
    <xf numFmtId="0" fontId="1" fillId="0" borderId="53" xfId="0" applyFont="1" applyBorder="1" applyAlignment="1" applyProtection="1">
      <alignment vertical="center" textRotation="90" shrinkToFit="1"/>
      <protection hidden="1"/>
    </xf>
    <xf numFmtId="0" fontId="1" fillId="0" borderId="53" xfId="0" applyFont="1" applyBorder="1" applyAlignment="1" applyProtection="1">
      <alignment horizontal="center" vertical="top" shrinkToFit="1"/>
      <protection hidden="1"/>
    </xf>
    <xf numFmtId="0" fontId="72" fillId="0" borderId="53" xfId="0" applyFont="1" applyBorder="1" applyAlignment="1" applyProtection="1">
      <alignment horizontal="center" vertical="center" shrinkToFit="1"/>
      <protection hidden="1"/>
    </xf>
    <xf numFmtId="49" fontId="0" fillId="0" borderId="0" xfId="0" applyNumberFormat="1" applyProtection="1">
      <protection hidden="1"/>
    </xf>
    <xf numFmtId="0" fontId="45" fillId="10" borderId="145" xfId="0" applyFont="1" applyFill="1" applyBorder="1" applyAlignment="1" applyProtection="1">
      <alignment horizontal="center" vertical="center"/>
      <protection hidden="1"/>
    </xf>
    <xf numFmtId="49" fontId="45" fillId="10" borderId="145" xfId="0" applyNumberFormat="1" applyFont="1" applyFill="1" applyBorder="1" applyAlignment="1" applyProtection="1">
      <alignment horizontal="center" vertical="center"/>
      <protection hidden="1"/>
    </xf>
    <xf numFmtId="0" fontId="45" fillId="10" borderId="146" xfId="0" applyFont="1" applyFill="1" applyBorder="1" applyAlignment="1" applyProtection="1">
      <alignment horizontal="center" vertical="center"/>
      <protection hidden="1"/>
    </xf>
    <xf numFmtId="49" fontId="86" fillId="5" borderId="147" xfId="0" applyNumberFormat="1" applyFont="1" applyFill="1" applyBorder="1" applyAlignment="1" applyProtection="1">
      <alignment horizontal="center" vertical="center" shrinkToFit="1"/>
      <protection locked="0" hidden="1"/>
    </xf>
    <xf numFmtId="0" fontId="86" fillId="5" borderId="147" xfId="0" applyFont="1" applyFill="1" applyBorder="1" applyAlignment="1" applyProtection="1">
      <alignment horizontal="center" vertical="center" shrinkToFit="1"/>
      <protection locked="0" hidden="1"/>
    </xf>
    <xf numFmtId="0" fontId="86" fillId="5" borderId="148" xfId="0" applyFont="1" applyFill="1" applyBorder="1" applyAlignment="1" applyProtection="1">
      <alignment horizontal="center" vertical="center" shrinkToFit="1"/>
      <protection locked="0" hidden="1"/>
    </xf>
    <xf numFmtId="0" fontId="45" fillId="10" borderId="149" xfId="0" applyFont="1" applyFill="1" applyBorder="1" applyAlignment="1" applyProtection="1">
      <alignment horizontal="center" vertical="center"/>
      <protection hidden="1"/>
    </xf>
    <xf numFmtId="0" fontId="45" fillId="10" borderId="150" xfId="0" applyFont="1" applyFill="1" applyBorder="1" applyAlignment="1" applyProtection="1">
      <alignment horizontal="center" vertical="center"/>
      <protection hidden="1"/>
    </xf>
    <xf numFmtId="0" fontId="45" fillId="10" borderId="151" xfId="0" applyFont="1" applyFill="1" applyBorder="1" applyAlignment="1" applyProtection="1">
      <alignment horizontal="center" vertical="center"/>
      <protection hidden="1"/>
    </xf>
    <xf numFmtId="49" fontId="70" fillId="0" borderId="0" xfId="0" applyNumberFormat="1" applyFont="1" applyAlignment="1" applyProtection="1">
      <alignment shrinkToFit="1"/>
      <protection hidden="1"/>
    </xf>
    <xf numFmtId="0" fontId="86" fillId="5" borderId="153" xfId="0" applyFont="1" applyFill="1" applyBorder="1" applyAlignment="1" applyProtection="1">
      <alignment horizontal="center" vertical="center" shrinkToFit="1"/>
      <protection hidden="1"/>
    </xf>
    <xf numFmtId="0" fontId="0" fillId="0" borderId="0" xfId="0" applyAlignment="1" applyProtection="1">
      <alignment wrapText="1"/>
      <protection hidden="1"/>
    </xf>
    <xf numFmtId="0" fontId="86" fillId="5" borderId="155" xfId="0" applyFont="1" applyFill="1" applyBorder="1" applyAlignment="1" applyProtection="1">
      <alignment horizontal="center" vertical="center" shrinkToFit="1"/>
      <protection locked="0" hidden="1"/>
    </xf>
    <xf numFmtId="0" fontId="45" fillId="10" borderId="156" xfId="0" applyFont="1" applyFill="1" applyBorder="1" applyAlignment="1" applyProtection="1">
      <alignment horizontal="center" vertical="center"/>
      <protection hidden="1"/>
    </xf>
    <xf numFmtId="164" fontId="86" fillId="5" borderId="155" xfId="0" applyNumberFormat="1" applyFont="1" applyFill="1" applyBorder="1" applyAlignment="1" applyProtection="1">
      <alignment horizontal="center" vertical="center" shrinkToFit="1"/>
      <protection locked="0" hidden="1"/>
    </xf>
    <xf numFmtId="0" fontId="86" fillId="5" borderId="152" xfId="0" applyFont="1" applyFill="1" applyBorder="1" applyAlignment="1" applyProtection="1">
      <alignment horizontal="center" vertical="center" shrinkToFit="1"/>
      <protection hidden="1"/>
    </xf>
    <xf numFmtId="0" fontId="86" fillId="5" borderId="154" xfId="0" applyFont="1" applyFill="1" applyBorder="1" applyAlignment="1" applyProtection="1">
      <alignment horizontal="center" vertical="center" shrinkToFit="1"/>
      <protection hidden="1"/>
    </xf>
    <xf numFmtId="164" fontId="86" fillId="5" borderId="152" xfId="0" applyNumberFormat="1" applyFont="1" applyFill="1" applyBorder="1" applyAlignment="1" applyProtection="1">
      <alignment horizontal="center" vertical="center" shrinkToFit="1"/>
      <protection hidden="1"/>
    </xf>
    <xf numFmtId="0" fontId="27" fillId="0" borderId="0" xfId="0" applyFont="1" applyAlignment="1" applyProtection="1">
      <alignment horizontal="center" vertical="center"/>
      <protection hidden="1"/>
    </xf>
    <xf numFmtId="0" fontId="30" fillId="12" borderId="31" xfId="0" applyFont="1" applyFill="1" applyBorder="1" applyAlignment="1" applyProtection="1">
      <alignment horizontal="center" vertical="center"/>
      <protection hidden="1"/>
    </xf>
    <xf numFmtId="0" fontId="30" fillId="12" borderId="32" xfId="0" applyFont="1" applyFill="1" applyBorder="1" applyAlignment="1" applyProtection="1">
      <alignment horizontal="center" vertical="center"/>
      <protection hidden="1"/>
    </xf>
    <xf numFmtId="14" fontId="30" fillId="12" borderId="32" xfId="0" applyNumberFormat="1" applyFont="1" applyFill="1" applyBorder="1" applyAlignment="1" applyProtection="1">
      <alignment horizontal="center" vertical="center"/>
      <protection hidden="1"/>
    </xf>
    <xf numFmtId="0" fontId="26" fillId="0" borderId="29" xfId="0" applyFont="1" applyBorder="1" applyAlignment="1" applyProtection="1">
      <alignment vertical="center"/>
      <protection hidden="1"/>
    </xf>
    <xf numFmtId="0" fontId="31" fillId="12" borderId="31" xfId="0" applyFont="1" applyFill="1" applyBorder="1" applyAlignment="1" applyProtection="1">
      <alignment horizontal="center" vertical="center"/>
      <protection hidden="1"/>
    </xf>
    <xf numFmtId="0" fontId="31" fillId="12" borderId="32" xfId="0" applyFont="1" applyFill="1" applyBorder="1" applyAlignment="1" applyProtection="1">
      <alignment horizontal="center" vertical="center"/>
      <protection hidden="1"/>
    </xf>
    <xf numFmtId="14" fontId="31" fillId="12" borderId="32" xfId="0" applyNumberFormat="1" applyFont="1" applyFill="1" applyBorder="1" applyAlignment="1" applyProtection="1">
      <alignment horizontal="center" vertical="center"/>
      <protection hidden="1"/>
    </xf>
    <xf numFmtId="0" fontId="76" fillId="20" borderId="33" xfId="0" applyFont="1" applyFill="1" applyBorder="1" applyAlignment="1" applyProtection="1">
      <alignment horizontal="center"/>
      <protection hidden="1"/>
    </xf>
    <xf numFmtId="164" fontId="76" fillId="20" borderId="33" xfId="0" applyNumberFormat="1" applyFont="1" applyFill="1" applyBorder="1" applyAlignment="1" applyProtection="1">
      <alignment horizontal="center"/>
      <protection hidden="1"/>
    </xf>
    <xf numFmtId="49" fontId="76" fillId="20" borderId="33" xfId="0" applyNumberFormat="1" applyFont="1" applyFill="1" applyBorder="1" applyAlignment="1" applyProtection="1">
      <alignment horizontal="center"/>
      <protection hidden="1"/>
    </xf>
    <xf numFmtId="0" fontId="76" fillId="20" borderId="34" xfId="0" applyFont="1" applyFill="1" applyBorder="1" applyAlignment="1" applyProtection="1">
      <alignment horizontal="center"/>
      <protection hidden="1"/>
    </xf>
    <xf numFmtId="0" fontId="76" fillId="20" borderId="41" xfId="0" applyFont="1" applyFill="1" applyBorder="1" applyAlignment="1" applyProtection="1">
      <alignment horizontal="center"/>
      <protection hidden="1"/>
    </xf>
    <xf numFmtId="0" fontId="76" fillId="20" borderId="35" xfId="0" applyFont="1" applyFill="1" applyBorder="1" applyAlignment="1" applyProtection="1">
      <alignment horizontal="center"/>
      <protection hidden="1"/>
    </xf>
    <xf numFmtId="0" fontId="76" fillId="20" borderId="137" xfId="0" applyFont="1" applyFill="1" applyBorder="1" applyAlignment="1" applyProtection="1">
      <alignment horizontal="center"/>
      <protection hidden="1"/>
    </xf>
    <xf numFmtId="0" fontId="49" fillId="18" borderId="138" xfId="0" applyFont="1" applyFill="1" applyBorder="1" applyAlignment="1" applyProtection="1">
      <alignment horizontal="center" vertical="center"/>
      <protection hidden="1"/>
    </xf>
    <xf numFmtId="0" fontId="76" fillId="10" borderId="20" xfId="0" applyFont="1" applyFill="1" applyBorder="1" applyAlignment="1" applyProtection="1">
      <alignment horizontal="center" vertical="center"/>
      <protection hidden="1"/>
    </xf>
    <xf numFmtId="0" fontId="49" fillId="18" borderId="20" xfId="0" applyFont="1" applyFill="1" applyBorder="1" applyAlignment="1" applyProtection="1">
      <alignment horizontal="center" vertical="center"/>
      <protection hidden="1"/>
    </xf>
    <xf numFmtId="0" fontId="76" fillId="10" borderId="131" xfId="0" applyFont="1" applyFill="1" applyBorder="1" applyAlignment="1" applyProtection="1">
      <alignment horizontal="center" vertical="center"/>
      <protection hidden="1"/>
    </xf>
    <xf numFmtId="0" fontId="49" fillId="18" borderId="130" xfId="0" applyFont="1" applyFill="1" applyBorder="1" applyAlignment="1" applyProtection="1">
      <alignment horizontal="center" vertical="center"/>
      <protection hidden="1"/>
    </xf>
    <xf numFmtId="0" fontId="76" fillId="10" borderId="139" xfId="0" applyFont="1" applyFill="1" applyBorder="1" applyAlignment="1" applyProtection="1">
      <alignment horizontal="center" vertical="center"/>
      <protection hidden="1"/>
    </xf>
    <xf numFmtId="0" fontId="76" fillId="3" borderId="130" xfId="0" applyFont="1" applyFill="1" applyBorder="1" applyAlignment="1" applyProtection="1">
      <alignment horizontal="center" vertical="center"/>
      <protection hidden="1"/>
    </xf>
    <xf numFmtId="0" fontId="76" fillId="3" borderId="20" xfId="0" applyFont="1" applyFill="1" applyBorder="1" applyAlignment="1" applyProtection="1">
      <alignment horizontal="center" vertical="center"/>
      <protection hidden="1"/>
    </xf>
    <xf numFmtId="1" fontId="76" fillId="3" borderId="131" xfId="0" applyNumberFormat="1" applyFont="1" applyFill="1" applyBorder="1" applyAlignment="1" applyProtection="1">
      <alignment horizontal="center"/>
      <protection hidden="1"/>
    </xf>
    <xf numFmtId="0" fontId="76" fillId="3" borderId="131" xfId="0" applyFont="1" applyFill="1" applyBorder="1" applyAlignment="1" applyProtection="1">
      <alignment horizontal="center"/>
      <protection hidden="1"/>
    </xf>
    <xf numFmtId="0" fontId="76" fillId="3" borderId="130" xfId="0" applyFont="1" applyFill="1" applyBorder="1" applyAlignment="1" applyProtection="1">
      <alignment horizontal="center"/>
      <protection hidden="1"/>
    </xf>
    <xf numFmtId="0" fontId="76" fillId="3" borderId="20" xfId="0" applyFont="1" applyFill="1" applyBorder="1" applyAlignment="1" applyProtection="1">
      <alignment horizontal="center"/>
      <protection hidden="1"/>
    </xf>
    <xf numFmtId="0" fontId="77" fillId="3" borderId="20" xfId="0" applyFont="1" applyFill="1" applyBorder="1" applyAlignment="1" applyProtection="1">
      <alignment horizontal="center"/>
      <protection hidden="1"/>
    </xf>
    <xf numFmtId="0" fontId="76" fillId="3" borderId="20" xfId="0" applyFont="1" applyFill="1" applyBorder="1" applyProtection="1">
      <protection hidden="1"/>
    </xf>
    <xf numFmtId="0" fontId="76" fillId="3" borderId="131" xfId="0" applyFont="1" applyFill="1" applyBorder="1" applyAlignment="1" applyProtection="1">
      <alignment horizontal="center" vertical="center"/>
      <protection hidden="1"/>
    </xf>
    <xf numFmtId="0" fontId="29" fillId="0" borderId="20" xfId="0" applyFont="1" applyBorder="1" applyProtection="1">
      <protection hidden="1"/>
    </xf>
    <xf numFmtId="14" fontId="0" fillId="0" borderId="0" xfId="0" applyNumberFormat="1" applyProtection="1">
      <protection hidden="1"/>
    </xf>
    <xf numFmtId="0" fontId="1" fillId="0" borderId="0" xfId="0" applyFont="1" applyProtection="1">
      <protection hidden="1"/>
    </xf>
    <xf numFmtId="0" fontId="7" fillId="0" borderId="0" xfId="0" applyFont="1" applyProtection="1">
      <protection hidden="1"/>
    </xf>
    <xf numFmtId="0" fontId="3" fillId="0" borderId="0" xfId="0" applyFont="1" applyAlignment="1" applyProtection="1">
      <alignment vertical="center"/>
      <protection hidden="1"/>
    </xf>
    <xf numFmtId="0" fontId="91" fillId="0" borderId="0" xfId="0" applyFont="1" applyAlignment="1" applyProtection="1">
      <alignment vertical="center"/>
      <protection hidden="1"/>
    </xf>
    <xf numFmtId="0" fontId="91" fillId="0" borderId="0" xfId="0" applyFont="1" applyAlignment="1" applyProtection="1">
      <alignment horizontal="right" vertical="center"/>
      <protection hidden="1"/>
    </xf>
    <xf numFmtId="0" fontId="92" fillId="0" borderId="0" xfId="0" applyFont="1" applyAlignment="1" applyProtection="1">
      <alignment vertical="center"/>
      <protection hidden="1"/>
    </xf>
    <xf numFmtId="0" fontId="6" fillId="0" borderId="0" xfId="0" applyFont="1" applyAlignment="1" applyProtection="1">
      <alignment shrinkToFit="1"/>
      <protection hidden="1"/>
    </xf>
    <xf numFmtId="0" fontId="5" fillId="0" borderId="0" xfId="0" applyFont="1" applyAlignment="1" applyProtection="1">
      <alignment vertical="center"/>
      <protection hidden="1"/>
    </xf>
    <xf numFmtId="0" fontId="8" fillId="0" borderId="0" xfId="0" applyFont="1" applyProtection="1">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right"/>
      <protection hidden="1"/>
    </xf>
    <xf numFmtId="0" fontId="7" fillId="22" borderId="0" xfId="0" applyFont="1" applyFill="1" applyAlignment="1" applyProtection="1">
      <alignment horizontal="center" vertical="center"/>
      <protection hidden="1"/>
    </xf>
    <xf numFmtId="0" fontId="7" fillId="22" borderId="0" xfId="0" applyFont="1" applyFill="1" applyProtection="1">
      <protection hidden="1"/>
    </xf>
    <xf numFmtId="0" fontId="7" fillId="23" borderId="0" xfId="0" applyFont="1" applyFill="1" applyProtection="1">
      <protection hidden="1"/>
    </xf>
    <xf numFmtId="0" fontId="7" fillId="8" borderId="0" xfId="0" applyFont="1" applyFill="1" applyAlignment="1" applyProtection="1">
      <alignment horizontal="center" vertical="center" wrapText="1"/>
      <protection hidden="1"/>
    </xf>
    <xf numFmtId="0" fontId="62" fillId="0" borderId="29" xfId="0" applyFont="1" applyBorder="1" applyAlignment="1">
      <alignment horizontal="center" vertical="center"/>
    </xf>
    <xf numFmtId="0" fontId="10" fillId="0" borderId="0" xfId="0" applyFont="1"/>
    <xf numFmtId="0" fontId="62" fillId="22" borderId="0" xfId="0" applyFont="1" applyFill="1" applyAlignment="1" applyProtection="1">
      <alignment horizontal="center" vertical="center"/>
      <protection hidden="1"/>
    </xf>
    <xf numFmtId="0" fontId="94" fillId="22" borderId="0" xfId="0" applyFont="1" applyFill="1" applyAlignment="1" applyProtection="1">
      <alignment horizontal="center" vertical="center"/>
      <protection hidden="1"/>
    </xf>
    <xf numFmtId="0" fontId="94" fillId="22" borderId="0" xfId="0" applyFont="1" applyFill="1" applyAlignment="1" applyProtection="1">
      <alignment vertical="center"/>
      <protection hidden="1"/>
    </xf>
    <xf numFmtId="0" fontId="62" fillId="22" borderId="0" xfId="0" applyFont="1" applyFill="1" applyAlignment="1">
      <alignment horizontal="center" vertical="center"/>
    </xf>
    <xf numFmtId="0" fontId="10" fillId="22" borderId="0" xfId="0" applyFont="1" applyFill="1"/>
    <xf numFmtId="0" fontId="94" fillId="22" borderId="0" xfId="0" applyFont="1" applyFill="1" applyAlignment="1" applyProtection="1">
      <alignment horizontal="center" vertical="center" shrinkToFit="1"/>
      <protection hidden="1"/>
    </xf>
    <xf numFmtId="0" fontId="95" fillId="22" borderId="0" xfId="0" applyFont="1" applyFill="1" applyAlignment="1" applyProtection="1">
      <alignment vertical="center"/>
      <protection hidden="1"/>
    </xf>
    <xf numFmtId="0" fontId="96" fillId="22" borderId="0" xfId="0" applyFont="1" applyFill="1"/>
    <xf numFmtId="0" fontId="99" fillId="0" borderId="0" xfId="0" applyFont="1" applyAlignment="1" applyProtection="1">
      <alignment vertical="center"/>
      <protection hidden="1"/>
    </xf>
    <xf numFmtId="0" fontId="47" fillId="0" borderId="58" xfId="0" applyFont="1" applyBorder="1" applyAlignment="1" applyProtection="1">
      <alignment vertical="center"/>
      <protection hidden="1"/>
    </xf>
    <xf numFmtId="0" fontId="100" fillId="0" borderId="0" xfId="0" applyFont="1" applyProtection="1">
      <protection hidden="1"/>
    </xf>
    <xf numFmtId="0" fontId="10" fillId="0" borderId="0" xfId="0" applyFont="1" applyAlignment="1" applyProtection="1">
      <alignment wrapText="1"/>
      <protection hidden="1"/>
    </xf>
    <xf numFmtId="0" fontId="69" fillId="0" borderId="0" xfId="0" applyFont="1" applyAlignment="1" applyProtection="1">
      <alignment horizontal="center" vertical="center"/>
      <protection hidden="1"/>
    </xf>
    <xf numFmtId="0" fontId="24" fillId="26" borderId="3" xfId="0" applyFont="1" applyFill="1" applyBorder="1" applyAlignment="1" applyProtection="1">
      <alignment horizontal="center" vertical="center"/>
      <protection hidden="1"/>
    </xf>
    <xf numFmtId="0" fontId="61" fillId="27" borderId="23" xfId="0" applyFont="1" applyFill="1" applyBorder="1" applyAlignment="1" applyProtection="1">
      <alignment horizontal="center" vertical="center"/>
      <protection locked="0" hidden="1"/>
    </xf>
    <xf numFmtId="0" fontId="97" fillId="0" borderId="21" xfId="0" applyFont="1" applyBorder="1"/>
    <xf numFmtId="0" fontId="69" fillId="0" borderId="158" xfId="0" applyFont="1" applyBorder="1" applyAlignment="1" applyProtection="1">
      <alignment horizontal="center" vertical="center"/>
      <protection hidden="1"/>
    </xf>
    <xf numFmtId="0" fontId="54" fillId="12" borderId="78" xfId="0" applyFont="1" applyFill="1" applyBorder="1" applyAlignment="1">
      <alignment horizontal="right" wrapText="1"/>
    </xf>
    <xf numFmtId="0" fontId="54" fillId="12" borderId="40" xfId="0" applyFont="1" applyFill="1" applyBorder="1" applyAlignment="1">
      <alignment horizontal="right" wrapText="1"/>
    </xf>
    <xf numFmtId="0" fontId="54" fillId="12" borderId="79" xfId="0" applyFont="1" applyFill="1" applyBorder="1" applyAlignment="1">
      <alignment horizontal="right" wrapText="1"/>
    </xf>
    <xf numFmtId="0" fontId="58" fillId="0" borderId="0" xfId="0" applyFont="1" applyAlignment="1">
      <alignment horizontal="center" vertical="center" wrapText="1"/>
    </xf>
    <xf numFmtId="0" fontId="58" fillId="0" borderId="0" xfId="0" applyFont="1" applyAlignment="1">
      <alignment horizontal="center" vertical="center"/>
    </xf>
    <xf numFmtId="0" fontId="54" fillId="12" borderId="56" xfId="0" applyFont="1" applyFill="1" applyBorder="1" applyAlignment="1">
      <alignment horizontal="right" wrapText="1"/>
    </xf>
    <xf numFmtId="0" fontId="54" fillId="12" borderId="0" xfId="0" applyFont="1" applyFill="1" applyAlignment="1">
      <alignment horizontal="right" wrapText="1"/>
    </xf>
    <xf numFmtId="0" fontId="54" fillId="12" borderId="8" xfId="0" applyFont="1" applyFill="1" applyBorder="1" applyAlignment="1">
      <alignment horizontal="right" wrapText="1"/>
    </xf>
    <xf numFmtId="0" fontId="49" fillId="0" borderId="0" xfId="0" applyFont="1" applyAlignment="1">
      <alignment horizontal="right" vertical="center" wrapText="1"/>
    </xf>
    <xf numFmtId="0" fontId="49" fillId="0" borderId="0" xfId="0" applyFont="1" applyAlignment="1">
      <alignment horizontal="center"/>
    </xf>
    <xf numFmtId="0" fontId="54" fillId="12" borderId="78" xfId="0" applyFont="1" applyFill="1" applyBorder="1" applyAlignment="1">
      <alignment horizontal="center"/>
    </xf>
    <xf numFmtId="0" fontId="54" fillId="12" borderId="40" xfId="0" applyFont="1" applyFill="1" applyBorder="1" applyAlignment="1">
      <alignment horizontal="center"/>
    </xf>
    <xf numFmtId="0" fontId="56" fillId="12" borderId="40" xfId="1" applyFont="1" applyFill="1" applyBorder="1" applyAlignment="1">
      <alignment horizontal="center"/>
    </xf>
    <xf numFmtId="0" fontId="56" fillId="12" borderId="79" xfId="1" applyFont="1" applyFill="1" applyBorder="1" applyAlignment="1">
      <alignment horizontal="center"/>
    </xf>
    <xf numFmtId="0" fontId="54" fillId="12" borderId="80" xfId="0" applyFont="1" applyFill="1" applyBorder="1" applyAlignment="1">
      <alignment horizontal="right"/>
    </xf>
    <xf numFmtId="0" fontId="54" fillId="12" borderId="81" xfId="0" applyFont="1" applyFill="1" applyBorder="1" applyAlignment="1">
      <alignment horizontal="right"/>
    </xf>
    <xf numFmtId="0" fontId="54" fillId="12" borderId="82" xfId="0" applyFont="1" applyFill="1" applyBorder="1" applyAlignment="1">
      <alignment horizontal="right"/>
    </xf>
    <xf numFmtId="9" fontId="54" fillId="12" borderId="75" xfId="0" applyNumberFormat="1" applyFont="1" applyFill="1" applyBorder="1" applyAlignment="1">
      <alignment horizontal="right" vertical="center"/>
    </xf>
    <xf numFmtId="0" fontId="54" fillId="12" borderId="83" xfId="0" applyFont="1" applyFill="1" applyBorder="1" applyAlignment="1">
      <alignment horizontal="right" vertical="center"/>
    </xf>
    <xf numFmtId="0" fontId="54" fillId="12" borderId="56" xfId="0" applyFont="1" applyFill="1" applyBorder="1" applyAlignment="1">
      <alignment horizontal="center" vertical="center" wrapText="1"/>
    </xf>
    <xf numFmtId="0" fontId="54" fillId="12" borderId="0" xfId="0" applyFont="1" applyFill="1" applyAlignment="1">
      <alignment horizontal="center" vertical="center" wrapText="1"/>
    </xf>
    <xf numFmtId="0" fontId="54" fillId="12" borderId="55" xfId="0" applyFont="1" applyFill="1" applyBorder="1" applyAlignment="1">
      <alignment horizontal="center" vertical="center" wrapText="1"/>
    </xf>
    <xf numFmtId="0" fontId="54" fillId="12" borderId="74" xfId="0" applyFont="1" applyFill="1" applyBorder="1" applyAlignment="1">
      <alignment horizontal="right" vertical="center" wrapText="1"/>
    </xf>
    <xf numFmtId="0" fontId="54" fillId="12" borderId="75" xfId="0" applyFont="1" applyFill="1" applyBorder="1" applyAlignment="1">
      <alignment horizontal="right" vertical="center" wrapText="1"/>
    </xf>
    <xf numFmtId="9" fontId="54" fillId="12" borderId="75" xfId="0" applyNumberFormat="1" applyFont="1" applyFill="1" applyBorder="1" applyAlignment="1">
      <alignment horizontal="right"/>
    </xf>
    <xf numFmtId="0" fontId="54" fillId="12" borderId="83" xfId="0" applyFont="1" applyFill="1" applyBorder="1" applyAlignment="1">
      <alignment horizontal="right"/>
    </xf>
    <xf numFmtId="0" fontId="54" fillId="12" borderId="75" xfId="0" applyFont="1" applyFill="1" applyBorder="1" applyAlignment="1">
      <alignment horizontal="right"/>
    </xf>
    <xf numFmtId="0" fontId="54" fillId="12" borderId="80" xfId="0" applyFont="1" applyFill="1" applyBorder="1" applyAlignment="1">
      <alignment horizontal="right" vertical="center"/>
    </xf>
    <xf numFmtId="0" fontId="54" fillId="12" borderId="81" xfId="0" applyFont="1" applyFill="1" applyBorder="1" applyAlignment="1">
      <alignment horizontal="right" vertical="center"/>
    </xf>
    <xf numFmtId="0" fontId="54" fillId="12" borderId="82" xfId="0" applyFont="1" applyFill="1" applyBorder="1" applyAlignment="1">
      <alignment horizontal="right" vertical="center"/>
    </xf>
    <xf numFmtId="9" fontId="54" fillId="12" borderId="75" xfId="0" applyNumberFormat="1" applyFont="1" applyFill="1" applyBorder="1" applyAlignment="1">
      <alignment horizontal="right" vertical="center" wrapText="1"/>
    </xf>
    <xf numFmtId="0" fontId="54" fillId="12" borderId="83" xfId="0" applyFont="1" applyFill="1" applyBorder="1" applyAlignment="1">
      <alignment horizontal="right" vertical="center" wrapText="1"/>
    </xf>
    <xf numFmtId="0" fontId="54" fillId="12" borderId="80" xfId="0" applyFont="1" applyFill="1" applyBorder="1" applyAlignment="1">
      <alignment horizontal="right" wrapText="1"/>
    </xf>
    <xf numFmtId="0" fontId="54" fillId="12" borderId="81" xfId="0" applyFont="1" applyFill="1" applyBorder="1" applyAlignment="1">
      <alignment horizontal="right" wrapText="1"/>
    </xf>
    <xf numFmtId="0" fontId="54" fillId="12" borderId="82" xfId="0" applyFont="1" applyFill="1" applyBorder="1" applyAlignment="1">
      <alignment horizontal="right" wrapText="1"/>
    </xf>
    <xf numFmtId="0" fontId="54" fillId="12" borderId="84" xfId="0" applyFont="1" applyFill="1" applyBorder="1" applyAlignment="1">
      <alignment horizontal="right" vertical="center"/>
    </xf>
    <xf numFmtId="0" fontId="54" fillId="12" borderId="85" xfId="0" applyFont="1" applyFill="1" applyBorder="1" applyAlignment="1">
      <alignment horizontal="right" vertical="center"/>
    </xf>
    <xf numFmtId="0" fontId="54" fillId="12" borderId="86" xfId="0" applyFont="1" applyFill="1" applyBorder="1" applyAlignment="1">
      <alignment horizontal="right" vertical="center"/>
    </xf>
    <xf numFmtId="9" fontId="54" fillId="12" borderId="87" xfId="0" applyNumberFormat="1" applyFont="1" applyFill="1" applyBorder="1" applyAlignment="1">
      <alignment horizontal="right" vertical="center"/>
    </xf>
    <xf numFmtId="0" fontId="54" fillId="12" borderId="88" xfId="0" applyFont="1" applyFill="1" applyBorder="1" applyAlignment="1">
      <alignment horizontal="right" vertical="center"/>
    </xf>
    <xf numFmtId="0" fontId="54" fillId="12" borderId="74" xfId="0" applyFont="1" applyFill="1" applyBorder="1" applyAlignment="1">
      <alignment horizontal="right" vertical="center"/>
    </xf>
    <xf numFmtId="0" fontId="54" fillId="12" borderId="75" xfId="0" applyFont="1" applyFill="1" applyBorder="1" applyAlignment="1">
      <alignment horizontal="right" vertical="center"/>
    </xf>
    <xf numFmtId="9" fontId="54" fillId="12" borderId="75" xfId="1" applyNumberFormat="1" applyFont="1" applyFill="1" applyBorder="1" applyAlignment="1">
      <alignment horizontal="right" vertical="center"/>
    </xf>
    <xf numFmtId="0" fontId="54" fillId="12" borderId="83" xfId="1" applyFont="1" applyFill="1" applyBorder="1" applyAlignment="1">
      <alignment horizontal="right" vertical="center"/>
    </xf>
    <xf numFmtId="0" fontId="54" fillId="12" borderId="78" xfId="0" applyFont="1" applyFill="1" applyBorder="1" applyAlignment="1">
      <alignment horizontal="right"/>
    </xf>
    <xf numFmtId="0" fontId="54" fillId="12" borderId="40" xfId="0" applyFont="1" applyFill="1" applyBorder="1" applyAlignment="1">
      <alignment horizontal="right"/>
    </xf>
    <xf numFmtId="0" fontId="54" fillId="12" borderId="79" xfId="0" applyFont="1" applyFill="1" applyBorder="1" applyAlignment="1">
      <alignment horizontal="right"/>
    </xf>
    <xf numFmtId="0" fontId="55" fillId="12" borderId="75" xfId="0" applyFont="1" applyFill="1" applyBorder="1" applyAlignment="1">
      <alignment horizontal="right" vertical="center"/>
    </xf>
    <xf numFmtId="0" fontId="55" fillId="12" borderId="83" xfId="0" applyFont="1" applyFill="1" applyBorder="1" applyAlignment="1">
      <alignment horizontal="right" vertical="center"/>
    </xf>
    <xf numFmtId="0" fontId="53" fillId="12" borderId="78" xfId="1" applyFont="1" applyFill="1" applyBorder="1" applyAlignment="1">
      <alignment horizontal="right"/>
    </xf>
    <xf numFmtId="0" fontId="53" fillId="12" borderId="40" xfId="1" applyFont="1" applyFill="1" applyBorder="1" applyAlignment="1">
      <alignment horizontal="right"/>
    </xf>
    <xf numFmtId="0" fontId="53" fillId="12" borderId="79" xfId="1" applyFont="1" applyFill="1" applyBorder="1" applyAlignment="1">
      <alignment horizontal="right"/>
    </xf>
    <xf numFmtId="0" fontId="48" fillId="0" borderId="0" xfId="0" applyFont="1" applyAlignment="1">
      <alignment horizontal="center"/>
    </xf>
    <xf numFmtId="0" fontId="49" fillId="0" borderId="8" xfId="0" applyFont="1" applyBorder="1" applyAlignment="1">
      <alignment horizontal="right"/>
    </xf>
    <xf numFmtId="0" fontId="51" fillId="12" borderId="67" xfId="0" applyFont="1" applyFill="1" applyBorder="1" applyAlignment="1">
      <alignment horizontal="center" vertical="center"/>
    </xf>
    <xf numFmtId="0" fontId="52" fillId="12" borderId="68" xfId="0" applyFont="1" applyFill="1" applyBorder="1" applyAlignment="1">
      <alignment horizontal="center" vertical="center"/>
    </xf>
    <xf numFmtId="0" fontId="52" fillId="12" borderId="74" xfId="0" applyFont="1" applyFill="1" applyBorder="1" applyAlignment="1">
      <alignment horizontal="center" vertical="center"/>
    </xf>
    <xf numFmtId="0" fontId="52" fillId="12" borderId="75" xfId="0" applyFont="1" applyFill="1" applyBorder="1" applyAlignment="1">
      <alignment horizontal="center" vertical="center"/>
    </xf>
    <xf numFmtId="0" fontId="52" fillId="12" borderId="69" xfId="0" applyFont="1" applyFill="1" applyBorder="1" applyAlignment="1">
      <alignment horizontal="center" vertical="center"/>
    </xf>
    <xf numFmtId="0" fontId="52" fillId="12" borderId="70" xfId="0" applyFont="1" applyFill="1" applyBorder="1" applyAlignment="1">
      <alignment horizontal="center" vertical="center"/>
    </xf>
    <xf numFmtId="0" fontId="52" fillId="12" borderId="76" xfId="0" applyFont="1" applyFill="1" applyBorder="1" applyAlignment="1">
      <alignment horizontal="center" vertical="center"/>
    </xf>
    <xf numFmtId="0" fontId="52" fillId="12" borderId="77" xfId="0" applyFont="1" applyFill="1" applyBorder="1" applyAlignment="1">
      <alignment horizontal="center" vertical="center"/>
    </xf>
    <xf numFmtId="0" fontId="53" fillId="12" borderId="71" xfId="1" applyFont="1" applyFill="1" applyBorder="1" applyAlignment="1">
      <alignment horizontal="right"/>
    </xf>
    <xf numFmtId="0" fontId="53" fillId="12" borderId="72" xfId="1" applyFont="1" applyFill="1" applyBorder="1" applyAlignment="1">
      <alignment horizontal="right"/>
    </xf>
    <xf numFmtId="0" fontId="53" fillId="12" borderId="73" xfId="1" applyFont="1" applyFill="1" applyBorder="1" applyAlignment="1">
      <alignment horizontal="right"/>
    </xf>
    <xf numFmtId="0" fontId="0" fillId="0" borderId="0" xfId="0" applyAlignment="1" applyProtection="1">
      <alignment horizontal="center"/>
      <protection hidden="1"/>
    </xf>
    <xf numFmtId="0" fontId="68" fillId="23" borderId="0" xfId="0" applyFont="1" applyFill="1" applyAlignment="1" applyProtection="1">
      <alignment horizontal="right" vertical="center"/>
      <protection hidden="1"/>
    </xf>
    <xf numFmtId="0" fontId="101" fillId="0" borderId="0" xfId="0" applyFont="1" applyAlignment="1" applyProtection="1">
      <alignment horizontal="center" vertical="center" wrapText="1"/>
      <protection hidden="1"/>
    </xf>
    <xf numFmtId="0" fontId="79" fillId="0" borderId="91" xfId="1" applyFont="1" applyFill="1" applyBorder="1" applyAlignment="1" applyProtection="1">
      <alignment horizontal="right" vertical="center" shrinkToFit="1"/>
      <protection hidden="1"/>
    </xf>
    <xf numFmtId="0" fontId="78" fillId="24" borderId="91" xfId="0" applyFont="1" applyFill="1" applyBorder="1" applyAlignment="1" applyProtection="1">
      <alignment horizontal="center" vertical="center" shrinkToFit="1"/>
      <protection hidden="1"/>
    </xf>
    <xf numFmtId="164" fontId="66" fillId="3" borderId="91" xfId="1" applyNumberFormat="1" applyFont="1" applyFill="1" applyBorder="1" applyAlignment="1" applyProtection="1">
      <alignment horizontal="center" vertical="center" shrinkToFit="1"/>
      <protection hidden="1"/>
    </xf>
    <xf numFmtId="0" fontId="66" fillId="0" borderId="91" xfId="0" applyFont="1" applyBorder="1" applyAlignment="1" applyProtection="1">
      <alignment horizontal="right" vertical="center" shrinkToFit="1"/>
      <protection hidden="1"/>
    </xf>
    <xf numFmtId="0" fontId="66" fillId="3" borderId="91" xfId="0" applyFont="1" applyFill="1" applyBorder="1" applyAlignment="1" applyProtection="1">
      <alignment horizontal="right" vertical="center" shrinkToFit="1"/>
      <protection hidden="1"/>
    </xf>
    <xf numFmtId="0" fontId="78" fillId="12" borderId="91" xfId="0" applyFont="1" applyFill="1" applyBorder="1" applyAlignment="1" applyProtection="1">
      <alignment horizontal="center" vertical="center" shrinkToFit="1"/>
      <protection hidden="1"/>
    </xf>
    <xf numFmtId="0" fontId="81" fillId="3" borderId="91" xfId="1" applyFont="1" applyFill="1" applyBorder="1" applyAlignment="1" applyProtection="1">
      <alignment horizontal="center" vertical="center" shrinkToFit="1"/>
      <protection hidden="1"/>
    </xf>
    <xf numFmtId="0" fontId="66" fillId="3" borderId="91" xfId="1" applyFont="1" applyFill="1" applyBorder="1" applyAlignment="1" applyProtection="1">
      <alignment horizontal="right" vertical="center" shrinkToFit="1"/>
      <protection hidden="1"/>
    </xf>
    <xf numFmtId="0" fontId="66" fillId="3" borderId="91" xfId="1" applyFont="1" applyFill="1" applyBorder="1" applyAlignment="1" applyProtection="1">
      <alignment horizontal="center" vertical="center" shrinkToFit="1"/>
      <protection hidden="1"/>
    </xf>
    <xf numFmtId="0" fontId="66" fillId="3" borderId="91" xfId="1" applyNumberFormat="1" applyFont="1" applyFill="1" applyBorder="1" applyAlignment="1" applyProtection="1">
      <alignment horizontal="center" vertical="center" shrinkToFit="1"/>
      <protection hidden="1"/>
    </xf>
    <xf numFmtId="0" fontId="79" fillId="3" borderId="91" xfId="1" applyFont="1" applyFill="1" applyBorder="1" applyAlignment="1" applyProtection="1">
      <alignment horizontal="center" vertical="center" wrapText="1" shrinkToFit="1"/>
      <protection hidden="1"/>
    </xf>
    <xf numFmtId="0" fontId="79" fillId="3" borderId="91" xfId="1" applyFont="1" applyFill="1" applyBorder="1" applyAlignment="1" applyProtection="1">
      <alignment horizontal="center" vertical="center" shrinkToFit="1"/>
      <protection hidden="1"/>
    </xf>
    <xf numFmtId="0" fontId="32" fillId="5" borderId="21"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27" xfId="0" applyFont="1" applyFill="1" applyBorder="1" applyAlignment="1">
      <alignment horizontal="center" vertical="center"/>
    </xf>
    <xf numFmtId="49" fontId="66" fillId="3" borderId="91" xfId="1" applyNumberFormat="1" applyFont="1" applyFill="1" applyBorder="1" applyAlignment="1" applyProtection="1">
      <alignment horizontal="center" vertical="center" shrinkToFit="1"/>
      <protection hidden="1"/>
    </xf>
    <xf numFmtId="1" fontId="66" fillId="3" borderId="91" xfId="1" applyNumberFormat="1" applyFont="1" applyFill="1" applyBorder="1" applyAlignment="1" applyProtection="1">
      <alignment horizontal="center" vertical="center" shrinkToFit="1"/>
      <protection hidden="1"/>
    </xf>
    <xf numFmtId="0" fontId="78" fillId="25" borderId="91" xfId="0" applyFont="1" applyFill="1" applyBorder="1" applyAlignment="1" applyProtection="1">
      <alignment horizontal="center" vertical="center" shrinkToFit="1"/>
      <protection hidden="1"/>
    </xf>
    <xf numFmtId="0" fontId="66" fillId="0" borderId="91" xfId="1" applyFont="1" applyFill="1" applyBorder="1" applyAlignment="1" applyProtection="1">
      <alignment horizontal="right" vertical="center" shrinkToFit="1"/>
      <protection hidden="1"/>
    </xf>
    <xf numFmtId="0" fontId="25" fillId="0" borderId="91" xfId="0" applyFont="1" applyBorder="1" applyAlignment="1" applyProtection="1">
      <alignment horizontal="center" vertical="center"/>
      <protection hidden="1"/>
    </xf>
    <xf numFmtId="0" fontId="66" fillId="3" borderId="91" xfId="0" applyFont="1" applyFill="1" applyBorder="1" applyAlignment="1" applyProtection="1">
      <alignment horizontal="center" vertical="center" shrinkToFit="1"/>
      <protection hidden="1"/>
    </xf>
    <xf numFmtId="0" fontId="5" fillId="3" borderId="24"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5" fillId="3" borderId="64" xfId="0" applyFont="1" applyFill="1" applyBorder="1" applyAlignment="1" applyProtection="1">
      <alignment horizontal="center" vertical="center" shrinkToFit="1"/>
      <protection hidden="1"/>
    </xf>
    <xf numFmtId="0" fontId="5" fillId="3" borderId="25"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26" xfId="0" applyFont="1" applyFill="1" applyBorder="1" applyAlignment="1" applyProtection="1">
      <alignment horizontal="center" vertical="center" shrinkToFit="1"/>
      <protection hidden="1"/>
    </xf>
    <xf numFmtId="0" fontId="5" fillId="3" borderId="23" xfId="0" applyFont="1" applyFill="1" applyBorder="1" applyAlignment="1" applyProtection="1">
      <alignment horizontal="center" vertical="center" shrinkToFit="1"/>
      <protection hidden="1"/>
    </xf>
    <xf numFmtId="0" fontId="3" fillId="6" borderId="0" xfId="0" applyFont="1" applyFill="1" applyAlignment="1" applyProtection="1">
      <alignment horizontal="center"/>
      <protection hidden="1"/>
    </xf>
    <xf numFmtId="0" fontId="5" fillId="3" borderId="65" xfId="0" applyFont="1" applyFill="1" applyBorder="1" applyAlignment="1" applyProtection="1">
      <alignment horizontal="center" vertical="center" shrinkToFit="1"/>
      <protection hidden="1"/>
    </xf>
    <xf numFmtId="0" fontId="5" fillId="3" borderId="22" xfId="0" applyFont="1" applyFill="1" applyBorder="1" applyAlignment="1" applyProtection="1">
      <alignment horizontal="center" vertical="center" shrinkToFit="1"/>
      <protection hidden="1"/>
    </xf>
    <xf numFmtId="0" fontId="5" fillId="3" borderId="66" xfId="0" applyFont="1" applyFill="1" applyBorder="1" applyAlignment="1" applyProtection="1">
      <alignment horizontal="center" vertical="center" shrinkToFit="1"/>
      <protection hidden="1"/>
    </xf>
    <xf numFmtId="0" fontId="5" fillId="3" borderId="9" xfId="0" applyFont="1" applyFill="1" applyBorder="1" applyAlignment="1" applyProtection="1">
      <alignment horizontal="center" vertical="center" shrinkToFit="1"/>
      <protection hidden="1"/>
    </xf>
    <xf numFmtId="0" fontId="28" fillId="11" borderId="6"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28" fillId="11" borderId="28"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1" xfId="0" applyFont="1" applyFill="1" applyBorder="1" applyAlignment="1">
      <alignment horizontal="center" vertical="center"/>
    </xf>
    <xf numFmtId="0" fontId="66" fillId="3" borderId="91" xfId="1" applyFont="1" applyFill="1" applyBorder="1" applyAlignment="1" applyProtection="1">
      <alignment horizontal="center" vertical="center" shrinkToFit="1"/>
      <protection locked="0" hidden="1"/>
    </xf>
    <xf numFmtId="0" fontId="28" fillId="11" borderId="7" xfId="0" applyFont="1" applyFill="1" applyBorder="1" applyAlignment="1">
      <alignment horizontal="center" vertical="center"/>
    </xf>
    <xf numFmtId="0" fontId="28" fillId="11" borderId="8" xfId="0" applyFont="1" applyFill="1" applyBorder="1" applyAlignment="1">
      <alignment horizontal="center" vertical="center"/>
    </xf>
    <xf numFmtId="0" fontId="5" fillId="3" borderId="15" xfId="0" applyFont="1" applyFill="1" applyBorder="1" applyAlignment="1" applyProtection="1">
      <alignment horizontal="center" vertical="center" shrinkToFit="1"/>
      <protection hidden="1"/>
    </xf>
    <xf numFmtId="0" fontId="28" fillId="11" borderId="6" xfId="0" applyFont="1" applyFill="1" applyBorder="1" applyAlignment="1">
      <alignment horizontal="center" vertical="center"/>
    </xf>
    <xf numFmtId="0" fontId="28" fillId="11" borderId="27" xfId="0" applyFont="1" applyFill="1" applyBorder="1" applyAlignment="1">
      <alignment horizontal="center" vertical="center"/>
    </xf>
    <xf numFmtId="165" fontId="26" fillId="13" borderId="91" xfId="0" applyNumberFormat="1" applyFont="1" applyFill="1" applyBorder="1" applyAlignment="1" applyProtection="1">
      <alignment horizontal="center" vertical="center" shrinkToFit="1"/>
      <protection hidden="1"/>
    </xf>
    <xf numFmtId="0" fontId="63" fillId="21" borderId="96" xfId="0" applyFont="1" applyFill="1" applyBorder="1" applyAlignment="1" applyProtection="1">
      <alignment horizontal="center" vertical="center"/>
      <protection hidden="1"/>
    </xf>
    <xf numFmtId="0" fontId="35" fillId="11" borderId="17" xfId="1" applyFont="1" applyFill="1" applyBorder="1" applyAlignment="1" applyProtection="1">
      <alignment horizontal="center" vertical="center"/>
    </xf>
    <xf numFmtId="0" fontId="35" fillId="11" borderId="0" xfId="1" applyFont="1" applyFill="1" applyBorder="1" applyAlignment="1" applyProtection="1">
      <alignment horizontal="center" vertical="center"/>
    </xf>
    <xf numFmtId="0" fontId="35" fillId="11" borderId="17" xfId="1" applyFont="1" applyFill="1" applyBorder="1" applyAlignment="1" applyProtection="1">
      <alignment horizontal="center" vertical="center" wrapText="1"/>
    </xf>
    <xf numFmtId="0" fontId="35" fillId="11" borderId="0" xfId="1" applyFont="1" applyFill="1" applyBorder="1" applyAlignment="1" applyProtection="1">
      <alignment horizontal="center" vertical="center" wrapText="1"/>
    </xf>
    <xf numFmtId="0" fontId="28" fillId="11" borderId="54" xfId="0" applyFont="1" applyFill="1" applyBorder="1" applyAlignment="1">
      <alignment horizontal="center" vertical="center"/>
    </xf>
    <xf numFmtId="0" fontId="33" fillId="11" borderId="0" xfId="1" applyFont="1" applyFill="1" applyBorder="1" applyAlignment="1" applyProtection="1">
      <alignment horizontal="center" vertical="center" wrapText="1"/>
    </xf>
    <xf numFmtId="0" fontId="44" fillId="3" borderId="65" xfId="0" applyFont="1" applyFill="1" applyBorder="1" applyAlignment="1" applyProtection="1">
      <alignment horizontal="center" vertical="center" shrinkToFit="1"/>
      <protection hidden="1"/>
    </xf>
    <xf numFmtId="0" fontId="44" fillId="3" borderId="22" xfId="0" applyFont="1" applyFill="1" applyBorder="1" applyAlignment="1" applyProtection="1">
      <alignment horizontal="center" vertical="center" shrinkToFit="1"/>
      <protection hidden="1"/>
    </xf>
    <xf numFmtId="0" fontId="44" fillId="3" borderId="66" xfId="0" applyFont="1" applyFill="1" applyBorder="1" applyAlignment="1" applyProtection="1">
      <alignment horizontal="center" vertical="center" shrinkToFit="1"/>
      <protection hidden="1"/>
    </xf>
    <xf numFmtId="0" fontId="26" fillId="13" borderId="97" xfId="0" applyFont="1" applyFill="1" applyBorder="1" applyAlignment="1" applyProtection="1">
      <alignment horizontal="center" vertical="center"/>
      <protection locked="0" hidden="1"/>
    </xf>
    <xf numFmtId="0" fontId="26" fillId="13" borderId="91" xfId="0" applyFont="1" applyFill="1" applyBorder="1" applyAlignment="1" applyProtection="1">
      <alignment horizontal="center" vertical="center"/>
      <protection locked="0" hidden="1"/>
    </xf>
    <xf numFmtId="0" fontId="26" fillId="13" borderId="98" xfId="0" applyFont="1" applyFill="1" applyBorder="1" applyAlignment="1" applyProtection="1">
      <alignment horizontal="center" vertical="center"/>
      <protection locked="0" hidden="1"/>
    </xf>
    <xf numFmtId="0" fontId="43" fillId="22" borderId="97" xfId="0" applyFont="1" applyFill="1" applyBorder="1" applyAlignment="1" applyProtection="1">
      <alignment horizontal="center" vertical="center"/>
      <protection hidden="1"/>
    </xf>
    <xf numFmtId="0" fontId="43" fillId="22" borderId="91" xfId="0" applyFont="1" applyFill="1" applyBorder="1" applyAlignment="1" applyProtection="1">
      <alignment horizontal="center" vertical="center"/>
      <protection hidden="1"/>
    </xf>
    <xf numFmtId="0" fontId="43" fillId="22" borderId="98" xfId="0" applyFont="1" applyFill="1" applyBorder="1" applyAlignment="1" applyProtection="1">
      <alignment horizontal="center" vertical="center"/>
      <protection hidden="1"/>
    </xf>
    <xf numFmtId="0" fontId="10" fillId="0" borderId="91" xfId="0" applyFont="1" applyBorder="1" applyAlignment="1" applyProtection="1">
      <alignment horizontal="center" vertical="center"/>
      <protection hidden="1"/>
    </xf>
    <xf numFmtId="0" fontId="62" fillId="0" borderId="91" xfId="0" applyFont="1" applyBorder="1" applyAlignment="1" applyProtection="1">
      <alignment horizontal="center" vertical="center"/>
      <protection hidden="1"/>
    </xf>
    <xf numFmtId="0" fontId="63" fillId="21" borderId="100" xfId="0" applyFont="1" applyFill="1" applyBorder="1" applyAlignment="1" applyProtection="1">
      <alignment horizontal="center" vertical="center"/>
      <protection hidden="1"/>
    </xf>
    <xf numFmtId="0" fontId="63" fillId="21" borderId="0" xfId="0" applyFont="1" applyFill="1" applyAlignment="1" applyProtection="1">
      <alignment horizontal="center" vertical="center"/>
      <protection hidden="1"/>
    </xf>
    <xf numFmtId="0" fontId="39" fillId="0" borderId="91" xfId="0" applyFont="1" applyBorder="1" applyAlignment="1" applyProtection="1">
      <alignment horizontal="center" vertical="center"/>
      <protection hidden="1"/>
    </xf>
    <xf numFmtId="0" fontId="37" fillId="0" borderId="91" xfId="0" applyFont="1" applyBorder="1" applyAlignment="1" applyProtection="1">
      <alignment horizontal="center" vertical="center"/>
      <protection hidden="1"/>
    </xf>
    <xf numFmtId="0" fontId="63" fillId="11" borderId="96" xfId="0" applyFont="1" applyFill="1" applyBorder="1" applyAlignment="1" applyProtection="1">
      <alignment horizontal="center" vertical="center"/>
      <protection hidden="1"/>
    </xf>
    <xf numFmtId="165" fontId="25" fillId="13" borderId="97" xfId="0" applyNumberFormat="1" applyFont="1" applyFill="1" applyBorder="1" applyAlignment="1" applyProtection="1">
      <alignment horizontal="center" vertical="center" shrinkToFit="1"/>
      <protection hidden="1"/>
    </xf>
    <xf numFmtId="165" fontId="25" fillId="13" borderId="91" xfId="0" applyNumberFormat="1" applyFont="1" applyFill="1" applyBorder="1" applyAlignment="1" applyProtection="1">
      <alignment horizontal="center" vertical="center" shrinkToFit="1"/>
      <protection hidden="1"/>
    </xf>
    <xf numFmtId="165" fontId="25" fillId="13" borderId="98" xfId="0" applyNumberFormat="1" applyFont="1" applyFill="1" applyBorder="1" applyAlignment="1" applyProtection="1">
      <alignment horizontal="center" vertical="center" shrinkToFit="1"/>
      <protection hidden="1"/>
    </xf>
    <xf numFmtId="165" fontId="26" fillId="13" borderId="97" xfId="0" applyNumberFormat="1" applyFont="1" applyFill="1" applyBorder="1" applyAlignment="1" applyProtection="1">
      <alignment horizontal="center" vertical="center" shrinkToFit="1"/>
      <protection hidden="1"/>
    </xf>
    <xf numFmtId="165" fontId="26" fillId="13" borderId="98" xfId="0" applyNumberFormat="1" applyFont="1" applyFill="1" applyBorder="1" applyAlignment="1" applyProtection="1">
      <alignment horizontal="center" vertical="center" shrinkToFit="1"/>
      <protection hidden="1"/>
    </xf>
    <xf numFmtId="165" fontId="46" fillId="13" borderId="108" xfId="0" applyNumberFormat="1" applyFont="1" applyFill="1" applyBorder="1" applyAlignment="1" applyProtection="1">
      <alignment horizontal="center" vertical="center" shrinkToFit="1"/>
      <protection hidden="1"/>
    </xf>
    <xf numFmtId="165" fontId="46" fillId="13" borderId="109" xfId="0" applyNumberFormat="1" applyFont="1" applyFill="1" applyBorder="1" applyAlignment="1" applyProtection="1">
      <alignment horizontal="center" vertical="center" shrinkToFit="1"/>
      <protection hidden="1"/>
    </xf>
    <xf numFmtId="165" fontId="46" fillId="13" borderId="110" xfId="0" applyNumberFormat="1" applyFont="1" applyFill="1" applyBorder="1" applyAlignment="1" applyProtection="1">
      <alignment horizontal="center" vertical="center" shrinkToFit="1"/>
      <protection hidden="1"/>
    </xf>
    <xf numFmtId="165" fontId="46" fillId="13" borderId="100" xfId="0" applyNumberFormat="1" applyFont="1" applyFill="1" applyBorder="1" applyAlignment="1" applyProtection="1">
      <alignment horizontal="center" vertical="center" shrinkToFit="1"/>
      <protection hidden="1"/>
    </xf>
    <xf numFmtId="165" fontId="46" fillId="13" borderId="0" xfId="0" applyNumberFormat="1" applyFont="1" applyFill="1" applyAlignment="1" applyProtection="1">
      <alignment horizontal="center" vertical="center" shrinkToFit="1"/>
      <protection hidden="1"/>
    </xf>
    <xf numFmtId="165" fontId="46" fillId="13" borderId="111" xfId="0" applyNumberFormat="1" applyFont="1" applyFill="1" applyBorder="1" applyAlignment="1" applyProtection="1">
      <alignment horizontal="center" vertical="center" shrinkToFit="1"/>
      <protection hidden="1"/>
    </xf>
    <xf numFmtId="165" fontId="46" fillId="13" borderId="112" xfId="0" applyNumberFormat="1" applyFont="1" applyFill="1" applyBorder="1" applyAlignment="1" applyProtection="1">
      <alignment horizontal="center" vertical="center" shrinkToFit="1"/>
      <protection hidden="1"/>
    </xf>
    <xf numFmtId="165" fontId="46" fillId="13" borderId="99" xfId="0" applyNumberFormat="1" applyFont="1" applyFill="1" applyBorder="1" applyAlignment="1" applyProtection="1">
      <alignment horizontal="center" vertical="center" shrinkToFit="1"/>
      <protection hidden="1"/>
    </xf>
    <xf numFmtId="165" fontId="46" fillId="13" borderId="113" xfId="0" applyNumberFormat="1" applyFont="1" applyFill="1" applyBorder="1" applyAlignment="1" applyProtection="1">
      <alignment horizontal="center" vertical="center" shrinkToFit="1"/>
      <protection hidden="1"/>
    </xf>
    <xf numFmtId="0" fontId="63" fillId="21" borderId="108" xfId="0" applyFont="1" applyFill="1" applyBorder="1" applyAlignment="1" applyProtection="1">
      <alignment horizontal="center" vertical="center" shrinkToFit="1"/>
      <protection hidden="1"/>
    </xf>
    <xf numFmtId="0" fontId="63" fillId="21" borderId="109" xfId="0" applyFont="1" applyFill="1" applyBorder="1" applyAlignment="1" applyProtection="1">
      <alignment horizontal="center" vertical="center" shrinkToFit="1"/>
      <protection hidden="1"/>
    </xf>
    <xf numFmtId="0" fontId="63" fillId="21" borderId="110" xfId="0" applyFont="1" applyFill="1" applyBorder="1" applyAlignment="1" applyProtection="1">
      <alignment horizontal="center" vertical="center" shrinkToFit="1"/>
      <protection hidden="1"/>
    </xf>
    <xf numFmtId="0" fontId="63" fillId="21" borderId="100" xfId="0" applyFont="1" applyFill="1" applyBorder="1" applyAlignment="1" applyProtection="1">
      <alignment horizontal="center" vertical="center" shrinkToFit="1"/>
      <protection hidden="1"/>
    </xf>
    <xf numFmtId="0" fontId="63" fillId="21" borderId="0" xfId="0" applyFont="1" applyFill="1" applyAlignment="1" applyProtection="1">
      <alignment horizontal="center" vertical="center" shrinkToFit="1"/>
      <protection hidden="1"/>
    </xf>
    <xf numFmtId="0" fontId="63" fillId="21" borderId="111" xfId="0" applyFont="1" applyFill="1" applyBorder="1" applyAlignment="1" applyProtection="1">
      <alignment horizontal="center" vertical="center" shrinkToFit="1"/>
      <protection hidden="1"/>
    </xf>
    <xf numFmtId="0" fontId="63" fillId="21" borderId="112" xfId="0" applyFont="1" applyFill="1" applyBorder="1" applyAlignment="1" applyProtection="1">
      <alignment horizontal="center" vertical="center" shrinkToFit="1"/>
      <protection hidden="1"/>
    </xf>
    <xf numFmtId="0" fontId="63" fillId="21" borderId="99" xfId="0" applyFont="1" applyFill="1" applyBorder="1" applyAlignment="1" applyProtection="1">
      <alignment horizontal="center" vertical="center" shrinkToFit="1"/>
      <protection hidden="1"/>
    </xf>
    <xf numFmtId="0" fontId="63" fillId="21" borderId="113" xfId="0" applyFont="1" applyFill="1" applyBorder="1" applyAlignment="1" applyProtection="1">
      <alignment horizontal="center" vertical="center" shrinkToFit="1"/>
      <protection hidden="1"/>
    </xf>
    <xf numFmtId="0" fontId="37" fillId="0" borderId="92" xfId="0" applyFont="1" applyBorder="1" applyAlignment="1" applyProtection="1">
      <alignment horizontal="center" vertical="center"/>
      <protection hidden="1"/>
    </xf>
    <xf numFmtId="0" fontId="38" fillId="17" borderId="91" xfId="0" applyFont="1" applyFill="1" applyBorder="1" applyAlignment="1" applyProtection="1">
      <alignment horizontal="center" vertical="center"/>
      <protection hidden="1"/>
    </xf>
    <xf numFmtId="0" fontId="60" fillId="0" borderId="91" xfId="0" applyFont="1" applyBorder="1" applyAlignment="1" applyProtection="1">
      <alignment horizontal="center"/>
      <protection hidden="1"/>
    </xf>
    <xf numFmtId="0" fontId="63" fillId="11" borderId="96" xfId="0" applyFont="1" applyFill="1" applyBorder="1" applyAlignment="1" applyProtection="1">
      <alignment horizontal="center" vertical="center" wrapText="1"/>
      <protection hidden="1"/>
    </xf>
    <xf numFmtId="0" fontId="38" fillId="17" borderId="97" xfId="0" applyFont="1" applyFill="1" applyBorder="1" applyAlignment="1" applyProtection="1">
      <alignment horizontal="center" vertical="center"/>
      <protection hidden="1"/>
    </xf>
    <xf numFmtId="0" fontId="38" fillId="17" borderId="98" xfId="0" applyFont="1" applyFill="1" applyBorder="1" applyAlignment="1" applyProtection="1">
      <alignment horizontal="center" vertical="center"/>
      <protection hidden="1"/>
    </xf>
    <xf numFmtId="0" fontId="28" fillId="12" borderId="0" xfId="0" applyFont="1" applyFill="1" applyAlignment="1" applyProtection="1">
      <alignment horizontal="center" vertical="center"/>
      <protection hidden="1"/>
    </xf>
    <xf numFmtId="0" fontId="55" fillId="21" borderId="99" xfId="0" applyFont="1" applyFill="1" applyBorder="1" applyAlignment="1" applyProtection="1">
      <alignment horizontal="center" vertical="center"/>
      <protection hidden="1"/>
    </xf>
    <xf numFmtId="0" fontId="63" fillId="21" borderId="99" xfId="0" applyFont="1" applyFill="1" applyBorder="1" applyAlignment="1" applyProtection="1">
      <alignment horizontal="center" vertical="center"/>
      <protection hidden="1"/>
    </xf>
    <xf numFmtId="0" fontId="6" fillId="0" borderId="0" xfId="0" applyFont="1" applyAlignment="1" applyProtection="1">
      <alignment horizontal="center" vertical="center" shrinkToFit="1"/>
      <protection hidden="1"/>
    </xf>
    <xf numFmtId="0" fontId="72" fillId="0" borderId="93" xfId="0" applyFont="1" applyBorder="1" applyAlignment="1" applyProtection="1">
      <alignment horizontal="right" vertical="center" shrinkToFit="1"/>
      <protection hidden="1"/>
    </xf>
    <xf numFmtId="0" fontId="72" fillId="0" borderId="12" xfId="0" applyFont="1" applyBorder="1" applyAlignment="1" applyProtection="1">
      <alignment horizontal="right" vertical="center" shrinkToFit="1"/>
      <protection hidden="1"/>
    </xf>
    <xf numFmtId="165" fontId="72" fillId="3" borderId="12" xfId="0" applyNumberFormat="1" applyFont="1" applyFill="1" applyBorder="1" applyAlignment="1" applyProtection="1">
      <alignment horizontal="right" vertical="center" shrinkToFit="1"/>
      <protection hidden="1"/>
    </xf>
    <xf numFmtId="165" fontId="72" fillId="3" borderId="94" xfId="0" applyNumberFormat="1" applyFont="1" applyFill="1" applyBorder="1" applyAlignment="1" applyProtection="1">
      <alignment horizontal="right" vertical="center" shrinkToFit="1"/>
      <protection hidden="1"/>
    </xf>
    <xf numFmtId="165" fontId="3" fillId="0" borderId="0" xfId="0" applyNumberFormat="1" applyFont="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6" fillId="0" borderId="0" xfId="0" applyFont="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3" fillId="0" borderId="0" xfId="0" applyFont="1" applyAlignment="1" applyProtection="1">
      <alignment horizontal="center" shrinkToFit="1"/>
      <protection hidden="1"/>
    </xf>
    <xf numFmtId="0" fontId="6" fillId="0" borderId="0" xfId="0" applyFont="1" applyAlignment="1" applyProtection="1">
      <alignment horizontal="right" shrinkToFit="1"/>
      <protection hidden="1"/>
    </xf>
    <xf numFmtId="0" fontId="72" fillId="3" borderId="12" xfId="0" applyFont="1" applyFill="1" applyBorder="1" applyAlignment="1" applyProtection="1">
      <alignment horizontal="center" vertical="center" shrinkToFit="1"/>
      <protection hidden="1"/>
    </xf>
    <xf numFmtId="0" fontId="72" fillId="3" borderId="94" xfId="0" applyFont="1" applyFill="1" applyBorder="1" applyAlignment="1" applyProtection="1">
      <alignment horizontal="center" vertical="center" shrinkToFit="1"/>
      <protection hidden="1"/>
    </xf>
    <xf numFmtId="165" fontId="71" fillId="20" borderId="12" xfId="0" applyNumberFormat="1" applyFont="1" applyFill="1" applyBorder="1" applyAlignment="1" applyProtection="1">
      <alignment horizontal="right" vertical="center" shrinkToFit="1"/>
      <protection hidden="1"/>
    </xf>
    <xf numFmtId="165" fontId="71" fillId="20" borderId="94" xfId="0" applyNumberFormat="1" applyFont="1" applyFill="1" applyBorder="1" applyAlignment="1" applyProtection="1">
      <alignment horizontal="right" vertical="center" shrinkToFit="1"/>
      <protection hidden="1"/>
    </xf>
    <xf numFmtId="0" fontId="6" fillId="0" borderId="13" xfId="0" applyFont="1" applyBorder="1" applyAlignment="1" applyProtection="1">
      <alignment horizontal="right" vertical="top" shrinkToFit="1"/>
      <protection hidden="1"/>
    </xf>
    <xf numFmtId="0" fontId="1" fillId="0" borderId="53" xfId="0" applyFont="1" applyBorder="1" applyAlignment="1" applyProtection="1">
      <alignment horizontal="center" vertical="top" shrinkToFit="1"/>
      <protection hidden="1"/>
    </xf>
    <xf numFmtId="0" fontId="72" fillId="0" borderId="11" xfId="0" applyFont="1" applyBorder="1" applyAlignment="1" applyProtection="1">
      <alignment horizontal="center" shrinkToFit="1"/>
      <protection hidden="1"/>
    </xf>
    <xf numFmtId="0" fontId="1" fillId="0" borderId="13" xfId="0" applyFont="1" applyBorder="1" applyAlignment="1" applyProtection="1">
      <alignment horizontal="center" vertical="center" shrinkToFit="1"/>
      <protection hidden="1"/>
    </xf>
    <xf numFmtId="0" fontId="1" fillId="0" borderId="1" xfId="0" applyFont="1" applyBorder="1" applyAlignment="1" applyProtection="1">
      <alignment horizontal="right" vertical="center" shrinkToFit="1"/>
      <protection hidden="1"/>
    </xf>
    <xf numFmtId="0" fontId="1" fillId="0" borderId="11" xfId="0" applyFont="1" applyBorder="1" applyAlignment="1" applyProtection="1">
      <alignment horizontal="right" vertical="center" shrinkToFit="1"/>
      <protection hidden="1"/>
    </xf>
    <xf numFmtId="0" fontId="1" fillId="0" borderId="89" xfId="0" applyFont="1" applyBorder="1" applyAlignment="1" applyProtection="1">
      <alignment horizontal="right" vertical="center" shrinkToFit="1"/>
      <protection hidden="1"/>
    </xf>
    <xf numFmtId="0" fontId="71" fillId="20" borderId="59" xfId="0" applyFont="1" applyFill="1" applyBorder="1" applyAlignment="1" applyProtection="1">
      <alignment horizontal="center" vertical="center" shrinkToFit="1"/>
      <protection hidden="1"/>
    </xf>
    <xf numFmtId="0" fontId="71" fillId="20" borderId="13" xfId="0" applyFont="1" applyFill="1" applyBorder="1" applyAlignment="1" applyProtection="1">
      <alignment horizontal="center" vertical="center" shrinkToFit="1"/>
      <protection hidden="1"/>
    </xf>
    <xf numFmtId="0" fontId="72" fillId="24" borderId="117" xfId="0" applyFont="1" applyFill="1" applyBorder="1" applyAlignment="1" applyProtection="1">
      <alignment horizontal="center" vertical="center"/>
      <protection hidden="1"/>
    </xf>
    <xf numFmtId="0" fontId="72" fillId="0" borderId="59" xfId="0" applyFont="1" applyBorder="1" applyAlignment="1" applyProtection="1">
      <alignment horizontal="center" vertical="center" shrinkToFit="1"/>
      <protection hidden="1"/>
    </xf>
    <xf numFmtId="0" fontId="72" fillId="0" borderId="13" xfId="0" applyFont="1" applyBorder="1" applyAlignment="1" applyProtection="1">
      <alignment horizontal="center" vertical="center" shrinkToFit="1"/>
      <protection hidden="1"/>
    </xf>
    <xf numFmtId="165" fontId="7" fillId="3" borderId="13" xfId="0" applyNumberFormat="1" applyFont="1" applyFill="1" applyBorder="1" applyAlignment="1" applyProtection="1">
      <alignment horizontal="center" vertical="center" shrinkToFit="1"/>
      <protection hidden="1"/>
    </xf>
    <xf numFmtId="165" fontId="7" fillId="3" borderId="95" xfId="0" applyNumberFormat="1" applyFont="1" applyFill="1" applyBorder="1" applyAlignment="1" applyProtection="1">
      <alignment horizontal="center" vertical="center" shrinkToFit="1"/>
      <protection hidden="1"/>
    </xf>
    <xf numFmtId="0" fontId="72" fillId="0" borderId="20" xfId="0" applyFont="1" applyBorder="1" applyAlignment="1" applyProtection="1">
      <alignment horizontal="center" vertical="center" shrinkToFit="1"/>
      <protection hidden="1"/>
    </xf>
    <xf numFmtId="0" fontId="72" fillId="0" borderId="58" xfId="0" applyFont="1" applyBorder="1" applyAlignment="1" applyProtection="1">
      <alignment horizontal="center" vertical="center" shrinkToFit="1"/>
      <protection hidden="1"/>
    </xf>
    <xf numFmtId="0" fontId="72" fillId="0" borderId="0" xfId="0" applyFont="1" applyAlignment="1" applyProtection="1">
      <alignment horizontal="center" vertical="center" shrinkToFit="1"/>
      <protection hidden="1"/>
    </xf>
    <xf numFmtId="0" fontId="72" fillId="0" borderId="93" xfId="0" applyFont="1" applyBorder="1" applyAlignment="1" applyProtection="1">
      <alignment horizontal="center" vertical="center" shrinkToFit="1"/>
      <protection hidden="1"/>
    </xf>
    <xf numFmtId="0" fontId="72" fillId="0" borderId="12" xfId="0" applyFont="1" applyBorder="1" applyAlignment="1" applyProtection="1">
      <alignment horizontal="center" vertical="center" shrinkToFit="1"/>
      <protection hidden="1"/>
    </xf>
    <xf numFmtId="0" fontId="73" fillId="6" borderId="59" xfId="0" applyFont="1" applyFill="1" applyBorder="1" applyAlignment="1" applyProtection="1">
      <alignment horizontal="center" shrinkToFit="1"/>
      <protection hidden="1"/>
    </xf>
    <xf numFmtId="0" fontId="73" fillId="6" borderId="13" xfId="0" applyFont="1" applyFill="1" applyBorder="1" applyAlignment="1" applyProtection="1">
      <alignment horizontal="center" shrinkToFit="1"/>
      <protection hidden="1"/>
    </xf>
    <xf numFmtId="0" fontId="73" fillId="6" borderId="95" xfId="0" applyFont="1" applyFill="1" applyBorder="1" applyAlignment="1" applyProtection="1">
      <alignment horizontal="center" shrinkToFit="1"/>
      <protection hidden="1"/>
    </xf>
    <xf numFmtId="0" fontId="73" fillId="6" borderId="58" xfId="0" applyFont="1" applyFill="1" applyBorder="1" applyAlignment="1" applyProtection="1">
      <alignment horizontal="center" vertical="center" shrinkToFit="1"/>
      <protection hidden="1"/>
    </xf>
    <xf numFmtId="0" fontId="73" fillId="6" borderId="0" xfId="0" applyFont="1" applyFill="1" applyAlignment="1" applyProtection="1">
      <alignment horizontal="center" vertical="center" shrinkToFit="1"/>
      <protection hidden="1"/>
    </xf>
    <xf numFmtId="0" fontId="73" fillId="6" borderId="90" xfId="0" applyFont="1" applyFill="1" applyBorder="1" applyAlignment="1" applyProtection="1">
      <alignment horizontal="center" vertical="center" shrinkToFit="1"/>
      <protection hidden="1"/>
    </xf>
    <xf numFmtId="0" fontId="73" fillId="6" borderId="11" xfId="0" applyFont="1" applyFill="1" applyBorder="1" applyAlignment="1" applyProtection="1">
      <alignment horizontal="center" vertical="center" shrinkToFit="1"/>
      <protection hidden="1"/>
    </xf>
    <xf numFmtId="0" fontId="73" fillId="6" borderId="89" xfId="0" applyFont="1" applyFill="1" applyBorder="1" applyAlignment="1" applyProtection="1">
      <alignment horizontal="center" vertical="center" shrinkToFit="1"/>
      <protection hidden="1"/>
    </xf>
    <xf numFmtId="0" fontId="7" fillId="3" borderId="12" xfId="0" applyFont="1" applyFill="1" applyBorder="1" applyAlignment="1" applyProtection="1">
      <alignment horizontal="center" vertical="center" shrinkToFit="1"/>
      <protection hidden="1"/>
    </xf>
    <xf numFmtId="0" fontId="7" fillId="3" borderId="94" xfId="0" applyFont="1" applyFill="1" applyBorder="1" applyAlignment="1" applyProtection="1">
      <alignment horizontal="center" vertical="center" shrinkToFit="1"/>
      <protection hidden="1"/>
    </xf>
    <xf numFmtId="165" fontId="72" fillId="3" borderId="12" xfId="0" applyNumberFormat="1" applyFont="1" applyFill="1" applyBorder="1" applyAlignment="1" applyProtection="1">
      <alignment horizontal="right" shrinkToFit="1"/>
      <protection hidden="1"/>
    </xf>
    <xf numFmtId="165" fontId="72" fillId="3" borderId="94" xfId="0" applyNumberFormat="1" applyFont="1" applyFill="1" applyBorder="1" applyAlignment="1" applyProtection="1">
      <alignment horizontal="right" shrinkToFit="1"/>
      <protection hidden="1"/>
    </xf>
    <xf numFmtId="0" fontId="73" fillId="6" borderId="1" xfId="0" applyFont="1" applyFill="1" applyBorder="1" applyAlignment="1" applyProtection="1">
      <alignment horizontal="center" vertical="center" shrinkToFit="1"/>
      <protection hidden="1"/>
    </xf>
    <xf numFmtId="0" fontId="13" fillId="0" borderId="0" xfId="0" applyFont="1" applyAlignment="1" applyProtection="1">
      <alignment horizontal="right" vertical="center" wrapText="1"/>
      <protection hidden="1"/>
    </xf>
    <xf numFmtId="0" fontId="13" fillId="0" borderId="11" xfId="0" applyFont="1" applyBorder="1" applyAlignment="1" applyProtection="1">
      <alignment horizontal="right" vertical="center" wrapText="1"/>
      <protection hidden="1"/>
    </xf>
    <xf numFmtId="0" fontId="7" fillId="0" borderId="23" xfId="0" applyFont="1" applyBorder="1" applyAlignment="1" applyProtection="1">
      <alignment horizontal="center" vertical="center" shrinkToFit="1"/>
      <protection hidden="1"/>
    </xf>
    <xf numFmtId="0" fontId="7" fillId="0" borderId="93"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164" fontId="72" fillId="3" borderId="12" xfId="0" applyNumberFormat="1" applyFont="1" applyFill="1" applyBorder="1" applyAlignment="1" applyProtection="1">
      <alignment horizontal="center" vertical="center" shrinkToFit="1"/>
      <protection hidden="1"/>
    </xf>
    <xf numFmtId="0" fontId="72" fillId="24" borderId="116" xfId="0" applyFont="1" applyFill="1" applyBorder="1" applyAlignment="1" applyProtection="1">
      <alignment horizontal="right" vertical="center" wrapText="1"/>
      <protection hidden="1"/>
    </xf>
    <xf numFmtId="0" fontId="72" fillId="24" borderId="117" xfId="0" applyFont="1" applyFill="1" applyBorder="1" applyAlignment="1" applyProtection="1">
      <alignment horizontal="right" vertical="center" wrapText="1"/>
      <protection hidden="1"/>
    </xf>
    <xf numFmtId="0" fontId="72" fillId="24" borderId="118" xfId="0" applyFont="1" applyFill="1" applyBorder="1" applyAlignment="1" applyProtection="1">
      <alignment horizontal="right" vertical="center" wrapText="1"/>
      <protection hidden="1"/>
    </xf>
    <xf numFmtId="0" fontId="72" fillId="24" borderId="119" xfId="0" applyFont="1" applyFill="1" applyBorder="1" applyAlignment="1" applyProtection="1">
      <alignment horizontal="right" vertical="center" wrapText="1"/>
      <protection hidden="1"/>
    </xf>
    <xf numFmtId="0" fontId="72" fillId="24" borderId="120" xfId="0" applyFont="1" applyFill="1" applyBorder="1" applyAlignment="1" applyProtection="1">
      <alignment horizontal="right" vertical="center" wrapText="1"/>
      <protection hidden="1"/>
    </xf>
    <xf numFmtId="0" fontId="72" fillId="24" borderId="121" xfId="0" applyFont="1" applyFill="1" applyBorder="1" applyAlignment="1" applyProtection="1">
      <alignment horizontal="right" vertical="center" wrapText="1"/>
      <protection hidden="1"/>
    </xf>
    <xf numFmtId="0" fontId="88" fillId="3" borderId="12" xfId="0" applyFont="1" applyFill="1" applyBorder="1" applyAlignment="1" applyProtection="1">
      <alignment horizontal="center" vertical="center" shrinkToFit="1"/>
      <protection hidden="1"/>
    </xf>
    <xf numFmtId="0" fontId="88" fillId="0" borderId="12" xfId="0" applyFont="1" applyBorder="1" applyAlignment="1" applyProtection="1">
      <alignment horizontal="right" vertical="center" shrinkToFit="1"/>
      <protection hidden="1"/>
    </xf>
    <xf numFmtId="0" fontId="89" fillId="3" borderId="12" xfId="0" applyFont="1" applyFill="1" applyBorder="1" applyAlignment="1" applyProtection="1">
      <alignment horizontal="center" vertical="center" shrinkToFit="1"/>
      <protection hidden="1"/>
    </xf>
    <xf numFmtId="164" fontId="88" fillId="3" borderId="12" xfId="0" applyNumberFormat="1" applyFont="1" applyFill="1" applyBorder="1" applyAlignment="1" applyProtection="1">
      <alignment horizontal="center" vertical="center" shrinkToFit="1"/>
      <protection hidden="1"/>
    </xf>
    <xf numFmtId="22" fontId="71" fillId="0" borderId="51" xfId="0" applyNumberFormat="1" applyFont="1" applyBorder="1" applyAlignment="1" applyProtection="1">
      <alignment horizontal="center" vertical="center" readingOrder="2"/>
      <protection hidden="1"/>
    </xf>
    <xf numFmtId="0" fontId="89" fillId="0" borderId="101" xfId="0" applyFont="1" applyBorder="1" applyAlignment="1" applyProtection="1">
      <alignment horizontal="right" vertical="center" shrinkToFit="1"/>
      <protection hidden="1"/>
    </xf>
    <xf numFmtId="0" fontId="89" fillId="0" borderId="14" xfId="0" applyFont="1" applyBorder="1" applyAlignment="1" applyProtection="1">
      <alignment horizontal="right" vertical="center" shrinkToFit="1"/>
      <protection hidden="1"/>
    </xf>
    <xf numFmtId="0" fontId="90" fillId="3" borderId="14" xfId="1" applyNumberFormat="1" applyFont="1" applyFill="1" applyBorder="1" applyAlignment="1" applyProtection="1">
      <alignment horizontal="center" vertical="center" shrinkToFit="1"/>
      <protection hidden="1"/>
    </xf>
    <xf numFmtId="0" fontId="89" fillId="0" borderId="14" xfId="0" applyFont="1" applyBorder="1" applyAlignment="1" applyProtection="1">
      <alignment horizontal="center" vertical="center" shrinkToFit="1"/>
      <protection hidden="1"/>
    </xf>
    <xf numFmtId="0" fontId="88" fillId="3" borderId="14" xfId="0" applyFont="1" applyFill="1" applyBorder="1" applyAlignment="1" applyProtection="1">
      <alignment horizontal="center" vertical="center" shrinkToFit="1"/>
      <protection hidden="1"/>
    </xf>
    <xf numFmtId="0" fontId="89" fillId="3" borderId="14" xfId="0" applyFont="1" applyFill="1" applyBorder="1" applyAlignment="1" applyProtection="1">
      <alignment horizontal="center" vertical="center" shrinkToFit="1"/>
      <protection hidden="1"/>
    </xf>
    <xf numFmtId="0" fontId="89" fillId="0" borderId="103" xfId="0" applyFont="1" applyBorder="1" applyAlignment="1" applyProtection="1">
      <alignment horizontal="right" vertical="center" shrinkToFit="1"/>
      <protection hidden="1"/>
    </xf>
    <xf numFmtId="0" fontId="89" fillId="0" borderId="12" xfId="0" applyFont="1" applyBorder="1" applyAlignment="1" applyProtection="1">
      <alignment horizontal="right" vertical="center" shrinkToFit="1"/>
      <protection hidden="1"/>
    </xf>
    <xf numFmtId="0" fontId="71" fillId="0" borderId="51" xfId="0" applyFont="1" applyBorder="1" applyAlignment="1" applyProtection="1">
      <alignment horizontal="center" vertical="center" readingOrder="2"/>
      <protection hidden="1"/>
    </xf>
    <xf numFmtId="0" fontId="89" fillId="3" borderId="102" xfId="0" applyFont="1" applyFill="1" applyBorder="1" applyAlignment="1" applyProtection="1">
      <alignment horizontal="center" vertical="center" shrinkToFit="1"/>
      <protection hidden="1"/>
    </xf>
    <xf numFmtId="0" fontId="88" fillId="0" borderId="12" xfId="0" applyFont="1" applyBorder="1" applyAlignment="1" applyProtection="1">
      <alignment horizontal="left" vertical="center" shrinkToFit="1"/>
      <protection hidden="1"/>
    </xf>
    <xf numFmtId="0" fontId="13" fillId="14" borderId="5" xfId="0" applyFont="1" applyFill="1" applyBorder="1" applyAlignment="1" applyProtection="1">
      <alignment horizontal="right" vertical="center" wrapText="1"/>
      <protection hidden="1"/>
    </xf>
    <xf numFmtId="0" fontId="13" fillId="14" borderId="0" xfId="0" applyFont="1" applyFill="1" applyAlignment="1" applyProtection="1">
      <alignment horizontal="right" vertical="center" wrapText="1"/>
      <protection hidden="1"/>
    </xf>
    <xf numFmtId="0" fontId="88" fillId="3" borderId="104" xfId="0" applyFont="1" applyFill="1" applyBorder="1" applyAlignment="1" applyProtection="1">
      <alignment horizontal="center" vertical="center" shrinkToFit="1"/>
      <protection hidden="1"/>
    </xf>
    <xf numFmtId="0" fontId="88" fillId="0" borderId="114" xfId="0" applyFont="1" applyBorder="1" applyAlignment="1" applyProtection="1">
      <alignment horizontal="right" vertical="center" shrinkToFit="1"/>
      <protection hidden="1"/>
    </xf>
    <xf numFmtId="0" fontId="88" fillId="0" borderId="13" xfId="0" applyFont="1" applyBorder="1" applyAlignment="1" applyProtection="1">
      <alignment horizontal="right" vertical="center" shrinkToFit="1"/>
      <protection hidden="1"/>
    </xf>
    <xf numFmtId="0" fontId="88" fillId="0" borderId="103" xfId="0" applyFont="1" applyBorder="1" applyAlignment="1" applyProtection="1">
      <alignment horizontal="right" vertical="center" shrinkToFit="1"/>
      <protection hidden="1"/>
    </xf>
    <xf numFmtId="49" fontId="89" fillId="3" borderId="13" xfId="0" applyNumberFormat="1" applyFont="1" applyFill="1" applyBorder="1" applyAlignment="1" applyProtection="1">
      <alignment horizontal="center" vertical="center" shrinkToFit="1"/>
      <protection hidden="1"/>
    </xf>
    <xf numFmtId="0" fontId="89" fillId="3" borderId="13" xfId="0" applyFont="1" applyFill="1" applyBorder="1" applyAlignment="1" applyProtection="1">
      <alignment horizontal="center" vertical="center" shrinkToFit="1"/>
      <protection hidden="1"/>
    </xf>
    <xf numFmtId="49" fontId="88" fillId="3" borderId="13" xfId="0" applyNumberFormat="1" applyFont="1" applyFill="1" applyBorder="1" applyAlignment="1" applyProtection="1">
      <alignment horizontal="center" vertical="center" shrinkToFit="1"/>
      <protection hidden="1"/>
    </xf>
    <xf numFmtId="0" fontId="88" fillId="3" borderId="13" xfId="0" applyFont="1" applyFill="1" applyBorder="1" applyAlignment="1" applyProtection="1">
      <alignment horizontal="center" vertical="center" shrinkToFit="1"/>
      <protection hidden="1"/>
    </xf>
    <xf numFmtId="0" fontId="89" fillId="3" borderId="115" xfId="0" applyFont="1" applyFill="1" applyBorder="1" applyAlignment="1" applyProtection="1">
      <alignment horizontal="center" vertical="center" shrinkToFit="1"/>
      <protection hidden="1"/>
    </xf>
    <xf numFmtId="0" fontId="89" fillId="0" borderId="12" xfId="0" applyFont="1" applyBorder="1" applyAlignment="1" applyProtection="1">
      <alignment horizontal="left" vertical="center" shrinkToFit="1"/>
      <protection hidden="1"/>
    </xf>
    <xf numFmtId="0" fontId="89" fillId="0" borderId="104" xfId="0" applyFont="1" applyBorder="1" applyAlignment="1" applyProtection="1">
      <alignment horizontal="left" vertical="center" shrinkToFit="1"/>
      <protection hidden="1"/>
    </xf>
    <xf numFmtId="0" fontId="88" fillId="0" borderId="104" xfId="0" applyFont="1" applyBorder="1" applyAlignment="1" applyProtection="1">
      <alignment horizontal="left" vertical="center" shrinkToFit="1"/>
      <protection hidden="1"/>
    </xf>
    <xf numFmtId="0" fontId="7" fillId="0" borderId="93" xfId="0" applyFont="1" applyBorder="1" applyAlignment="1" applyProtection="1">
      <alignment horizontal="right" vertical="center" shrinkToFit="1"/>
      <protection hidden="1"/>
    </xf>
    <xf numFmtId="0" fontId="7" fillId="0" borderId="12" xfId="0" applyFont="1" applyBorder="1" applyAlignment="1" applyProtection="1">
      <alignment horizontal="right" vertical="center" shrinkToFit="1"/>
      <protection hidden="1"/>
    </xf>
    <xf numFmtId="0" fontId="71" fillId="3" borderId="12" xfId="0" applyFont="1" applyFill="1" applyBorder="1" applyAlignment="1" applyProtection="1">
      <alignment horizontal="right" vertical="center" shrinkToFit="1"/>
      <protection hidden="1"/>
    </xf>
    <xf numFmtId="0" fontId="71" fillId="3" borderId="94" xfId="0" applyFont="1" applyFill="1" applyBorder="1" applyAlignment="1" applyProtection="1">
      <alignment horizontal="right" vertical="center" shrinkToFit="1"/>
      <protection hidden="1"/>
    </xf>
    <xf numFmtId="0" fontId="72" fillId="0" borderId="12" xfId="0" applyFont="1" applyBorder="1" applyAlignment="1" applyProtection="1">
      <alignment horizontal="center" shrinkToFit="1"/>
      <protection hidden="1"/>
    </xf>
    <xf numFmtId="0" fontId="72" fillId="0" borderId="94" xfId="0" applyFont="1" applyBorder="1" applyAlignment="1" applyProtection="1">
      <alignment horizontal="center" shrinkToFit="1"/>
      <protection hidden="1"/>
    </xf>
    <xf numFmtId="0" fontId="1" fillId="2" borderId="25"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1" fillId="2" borderId="26" xfId="0" applyFont="1" applyFill="1" applyBorder="1" applyAlignment="1" applyProtection="1">
      <alignment horizontal="center" vertical="center"/>
      <protection hidden="1"/>
    </xf>
    <xf numFmtId="0" fontId="46" fillId="10" borderId="157" xfId="0" applyFont="1" applyFill="1" applyBorder="1" applyAlignment="1" applyProtection="1">
      <alignment horizontal="center" vertical="center" wrapText="1"/>
      <protection hidden="1"/>
    </xf>
    <xf numFmtId="0" fontId="46" fillId="10" borderId="0" xfId="0" applyFont="1" applyFill="1" applyAlignment="1" applyProtection="1">
      <alignment horizontal="center" vertical="center" wrapText="1"/>
      <protection hidden="1"/>
    </xf>
    <xf numFmtId="0" fontId="26" fillId="0" borderId="29" xfId="0" applyFont="1" applyBorder="1" applyAlignment="1" applyProtection="1">
      <alignment horizontal="center" vertical="center"/>
      <protection hidden="1"/>
    </xf>
    <xf numFmtId="0" fontId="74" fillId="6" borderId="142" xfId="0" applyFont="1" applyFill="1" applyBorder="1" applyAlignment="1" applyProtection="1">
      <alignment horizontal="center" vertical="center"/>
      <protection hidden="1"/>
    </xf>
    <xf numFmtId="0" fontId="74" fillId="6" borderId="141" xfId="0" applyFont="1" applyFill="1" applyBorder="1" applyAlignment="1" applyProtection="1">
      <alignment horizontal="center" vertical="center"/>
      <protection hidden="1"/>
    </xf>
    <xf numFmtId="0" fontId="74" fillId="3" borderId="107" xfId="0" applyFont="1" applyFill="1" applyBorder="1" applyAlignment="1" applyProtection="1">
      <alignment horizontal="center" vertical="center" textRotation="90" wrapText="1"/>
      <protection hidden="1"/>
    </xf>
    <xf numFmtId="0" fontId="74" fillId="3" borderId="106" xfId="0" applyFont="1" applyFill="1" applyBorder="1" applyAlignment="1" applyProtection="1">
      <alignment horizontal="center" vertical="center" textRotation="90" wrapText="1"/>
      <protection hidden="1"/>
    </xf>
    <xf numFmtId="0" fontId="74" fillId="3" borderId="133" xfId="0" applyFont="1" applyFill="1" applyBorder="1" applyAlignment="1" applyProtection="1">
      <alignment horizontal="center" vertical="center" textRotation="90" wrapText="1"/>
      <protection hidden="1"/>
    </xf>
    <xf numFmtId="0" fontId="74" fillId="3" borderId="8" xfId="0" applyFont="1" applyFill="1" applyBorder="1" applyAlignment="1" applyProtection="1">
      <alignment horizontal="center" vertical="center" textRotation="90" wrapText="1"/>
      <protection hidden="1"/>
    </xf>
    <xf numFmtId="0" fontId="74" fillId="6" borderId="143" xfId="0" applyFont="1" applyFill="1" applyBorder="1" applyAlignment="1" applyProtection="1">
      <alignment horizontal="center" vertical="center"/>
      <protection hidden="1"/>
    </xf>
    <xf numFmtId="0" fontId="74" fillId="3" borderId="134" xfId="0" applyFont="1" applyFill="1" applyBorder="1" applyAlignment="1" applyProtection="1">
      <alignment horizontal="center" vertical="center" textRotation="90" wrapText="1"/>
      <protection hidden="1"/>
    </xf>
    <xf numFmtId="0" fontId="30" fillId="15" borderId="0" xfId="0" applyFont="1" applyFill="1" applyAlignment="1" applyProtection="1">
      <alignment horizontal="center" vertical="center"/>
      <protection hidden="1"/>
    </xf>
    <xf numFmtId="0" fontId="30" fillId="15" borderId="29" xfId="0" applyFont="1" applyFill="1" applyBorder="1" applyAlignment="1" applyProtection="1">
      <alignment horizontal="center" vertical="center"/>
      <protection hidden="1"/>
    </xf>
    <xf numFmtId="0" fontId="30" fillId="11" borderId="122" xfId="0" applyFont="1" applyFill="1" applyBorder="1" applyAlignment="1" applyProtection="1">
      <alignment horizontal="center" vertical="center"/>
      <protection hidden="1"/>
    </xf>
    <xf numFmtId="0" fontId="30" fillId="11" borderId="0" xfId="0" applyFont="1" applyFill="1" applyAlignment="1" applyProtection="1">
      <alignment horizontal="center" vertical="center"/>
      <protection hidden="1"/>
    </xf>
    <xf numFmtId="0" fontId="30" fillId="11" borderId="123" xfId="0" applyFont="1" applyFill="1" applyBorder="1" applyAlignment="1" applyProtection="1">
      <alignment horizontal="center" vertical="center"/>
      <protection hidden="1"/>
    </xf>
    <xf numFmtId="0" fontId="27" fillId="23" borderId="122" xfId="0" applyFont="1" applyFill="1" applyBorder="1" applyAlignment="1" applyProtection="1">
      <alignment horizontal="center" vertical="center"/>
      <protection hidden="1"/>
    </xf>
    <xf numFmtId="0" fontId="27" fillId="23" borderId="0" xfId="0" applyFont="1" applyFill="1" applyAlignment="1" applyProtection="1">
      <alignment horizontal="center" vertical="center"/>
      <protection hidden="1"/>
    </xf>
    <xf numFmtId="0" fontId="27" fillId="23" borderId="105" xfId="0" applyFont="1" applyFill="1" applyBorder="1" applyAlignment="1" applyProtection="1">
      <alignment horizontal="center" vertical="center"/>
      <protection hidden="1"/>
    </xf>
    <xf numFmtId="0" fontId="27" fillId="23" borderId="123" xfId="0" applyFont="1" applyFill="1" applyBorder="1" applyAlignment="1" applyProtection="1">
      <alignment horizontal="center" vertical="center"/>
      <protection hidden="1"/>
    </xf>
    <xf numFmtId="0" fontId="27" fillId="16" borderId="32" xfId="0" applyFont="1" applyFill="1" applyBorder="1" applyAlignment="1" applyProtection="1">
      <alignment horizontal="center" vertical="center"/>
      <protection hidden="1"/>
    </xf>
    <xf numFmtId="0" fontId="27" fillId="16" borderId="36" xfId="0" applyFont="1" applyFill="1" applyBorder="1" applyAlignment="1" applyProtection="1">
      <alignment horizontal="center" vertical="center"/>
      <protection hidden="1"/>
    </xf>
    <xf numFmtId="0" fontId="74" fillId="6" borderId="14" xfId="0" applyFont="1" applyFill="1" applyBorder="1" applyAlignment="1" applyProtection="1">
      <alignment horizontal="center" vertical="center"/>
      <protection hidden="1"/>
    </xf>
    <xf numFmtId="0" fontId="27" fillId="16" borderId="37" xfId="0" applyFont="1" applyFill="1" applyBorder="1" applyAlignment="1" applyProtection="1">
      <alignment horizontal="center" vertical="center"/>
      <protection hidden="1"/>
    </xf>
    <xf numFmtId="0" fontId="27" fillId="16" borderId="38" xfId="0" applyFont="1" applyFill="1" applyBorder="1" applyAlignment="1" applyProtection="1">
      <alignment horizontal="center" vertical="center"/>
      <protection hidden="1"/>
    </xf>
    <xf numFmtId="0" fontId="74" fillId="6" borderId="140" xfId="0" applyFont="1" applyFill="1" applyBorder="1" applyAlignment="1" applyProtection="1">
      <alignment horizontal="center" vertical="center"/>
      <protection hidden="1"/>
    </xf>
    <xf numFmtId="0" fontId="74" fillId="3" borderId="132" xfId="0" applyFont="1" applyFill="1" applyBorder="1" applyAlignment="1" applyProtection="1">
      <alignment horizontal="center" vertical="center" textRotation="90" wrapText="1"/>
      <protection hidden="1"/>
    </xf>
    <xf numFmtId="0" fontId="74" fillId="6" borderId="144" xfId="0" applyFont="1" applyFill="1" applyBorder="1" applyAlignment="1" applyProtection="1">
      <alignment horizontal="center" vertical="center"/>
      <protection hidden="1"/>
    </xf>
    <xf numFmtId="0" fontId="36" fillId="4" borderId="43" xfId="0" applyFont="1" applyFill="1" applyBorder="1" applyAlignment="1" applyProtection="1">
      <alignment horizontal="center" vertical="center"/>
      <protection hidden="1"/>
    </xf>
    <xf numFmtId="0" fontId="36" fillId="4" borderId="46" xfId="0" applyFont="1" applyFill="1" applyBorder="1" applyAlignment="1" applyProtection="1">
      <alignment horizontal="center" vertical="center"/>
      <protection hidden="1"/>
    </xf>
    <xf numFmtId="0" fontId="34" fillId="4" borderId="0" xfId="0" applyFont="1" applyFill="1" applyAlignment="1" applyProtection="1">
      <alignment horizontal="center" vertical="center"/>
      <protection hidden="1"/>
    </xf>
    <xf numFmtId="0" fontId="9" fillId="9" borderId="0" xfId="1" applyFont="1" applyFill="1" applyAlignment="1" applyProtection="1">
      <alignment horizontal="center" vertical="center"/>
      <protection hidden="1"/>
    </xf>
    <xf numFmtId="0" fontId="27" fillId="0" borderId="0" xfId="0" applyFont="1" applyAlignment="1" applyProtection="1">
      <alignment horizontal="center" vertical="center"/>
      <protection hidden="1"/>
    </xf>
    <xf numFmtId="0" fontId="36" fillId="4" borderId="42" xfId="0" applyFont="1" applyFill="1" applyBorder="1" applyAlignment="1" applyProtection="1">
      <alignment horizontal="center" vertical="center"/>
      <protection hidden="1"/>
    </xf>
    <xf numFmtId="0" fontId="36" fillId="4" borderId="45" xfId="0" applyFont="1" applyFill="1" applyBorder="1" applyAlignment="1" applyProtection="1">
      <alignment horizontal="center" vertical="center"/>
      <protection hidden="1"/>
    </xf>
    <xf numFmtId="0" fontId="36" fillId="4" borderId="48" xfId="0" applyFont="1" applyFill="1" applyBorder="1" applyAlignment="1" applyProtection="1">
      <alignment horizontal="center" vertical="center"/>
      <protection hidden="1"/>
    </xf>
    <xf numFmtId="0" fontId="36" fillId="4" borderId="49" xfId="0" applyFont="1" applyFill="1" applyBorder="1" applyAlignment="1" applyProtection="1">
      <alignment horizontal="center" vertical="center"/>
      <protection hidden="1"/>
    </xf>
    <xf numFmtId="0" fontId="36" fillId="4" borderId="50" xfId="0" applyFont="1" applyFill="1" applyBorder="1" applyAlignment="1" applyProtection="1">
      <alignment horizontal="center" vertical="center"/>
      <protection hidden="1"/>
    </xf>
    <xf numFmtId="0" fontId="36" fillId="4" borderId="44" xfId="0" applyFont="1" applyFill="1" applyBorder="1" applyAlignment="1" applyProtection="1">
      <alignment horizontal="center" vertical="center"/>
      <protection hidden="1"/>
    </xf>
    <xf numFmtId="0" fontId="36" fillId="4" borderId="47" xfId="0" applyFont="1" applyFill="1" applyBorder="1" applyAlignment="1" applyProtection="1">
      <alignment horizontal="center" vertical="center"/>
      <protection hidden="1"/>
    </xf>
    <xf numFmtId="0" fontId="37" fillId="19" borderId="135" xfId="0" applyFont="1" applyFill="1" applyBorder="1" applyAlignment="1" applyProtection="1">
      <alignment horizontal="center" vertical="center" wrapText="1"/>
      <protection hidden="1"/>
    </xf>
    <xf numFmtId="0" fontId="37" fillId="19" borderId="127" xfId="0" applyFont="1" applyFill="1" applyBorder="1" applyAlignment="1" applyProtection="1">
      <alignment horizontal="center" vertical="center" wrapText="1"/>
      <protection hidden="1"/>
    </xf>
    <xf numFmtId="0" fontId="37" fillId="19" borderId="20" xfId="0" applyFont="1" applyFill="1" applyBorder="1" applyAlignment="1" applyProtection="1">
      <alignment horizontal="center" vertical="center"/>
      <protection hidden="1"/>
    </xf>
    <xf numFmtId="0" fontId="37" fillId="19" borderId="136" xfId="0" applyFont="1" applyFill="1" applyBorder="1" applyAlignment="1" applyProtection="1">
      <alignment horizontal="center" vertical="center" wrapText="1"/>
      <protection hidden="1"/>
    </xf>
    <xf numFmtId="0" fontId="37" fillId="19" borderId="129" xfId="0" applyFont="1" applyFill="1" applyBorder="1" applyAlignment="1" applyProtection="1">
      <alignment horizontal="center" vertical="center" wrapText="1"/>
      <protection hidden="1"/>
    </xf>
    <xf numFmtId="0" fontId="37" fillId="19" borderId="130" xfId="0" applyFont="1" applyFill="1" applyBorder="1" applyAlignment="1" applyProtection="1">
      <alignment horizontal="center" vertical="center" wrapText="1"/>
      <protection hidden="1"/>
    </xf>
    <xf numFmtId="0" fontId="62" fillId="19" borderId="20" xfId="0" applyFont="1" applyFill="1" applyBorder="1" applyAlignment="1" applyProtection="1">
      <alignment horizontal="center" vertical="center" wrapText="1"/>
      <protection hidden="1"/>
    </xf>
    <xf numFmtId="0" fontId="62" fillId="19" borderId="20" xfId="0" applyFont="1" applyFill="1" applyBorder="1" applyAlignment="1" applyProtection="1">
      <alignment horizontal="center" vertical="center"/>
      <protection hidden="1"/>
    </xf>
    <xf numFmtId="0" fontId="37" fillId="19" borderId="57" xfId="0" applyFont="1" applyFill="1" applyBorder="1" applyAlignment="1" applyProtection="1">
      <alignment horizontal="center" vertical="center" wrapText="1"/>
      <protection hidden="1"/>
    </xf>
    <xf numFmtId="0" fontId="37" fillId="19" borderId="128" xfId="0" applyFont="1" applyFill="1" applyBorder="1" applyAlignment="1" applyProtection="1">
      <alignment horizontal="center" vertical="center" wrapText="1"/>
      <protection hidden="1"/>
    </xf>
    <xf numFmtId="0" fontId="27" fillId="0" borderId="124" xfId="0" applyFont="1" applyBorder="1" applyAlignment="1" applyProtection="1">
      <alignment horizontal="center" vertical="center"/>
      <protection hidden="1"/>
    </xf>
    <xf numFmtId="0" fontId="27" fillId="0" borderId="125" xfId="0" applyFont="1" applyBorder="1" applyAlignment="1" applyProtection="1">
      <alignment horizontal="center" vertical="center"/>
      <protection hidden="1"/>
    </xf>
    <xf numFmtId="0" fontId="27" fillId="0" borderId="126" xfId="0" applyFont="1" applyBorder="1" applyAlignment="1" applyProtection="1">
      <alignment horizontal="center" vertical="center"/>
      <protection hidden="1"/>
    </xf>
    <xf numFmtId="0" fontId="27" fillId="0" borderId="130" xfId="0" applyFont="1" applyBorder="1" applyAlignment="1" applyProtection="1">
      <alignment horizontal="center" vertical="center"/>
      <protection hidden="1"/>
    </xf>
    <xf numFmtId="0" fontId="27" fillId="0" borderId="20" xfId="0" applyFont="1" applyBorder="1" applyAlignment="1" applyProtection="1">
      <alignment horizontal="center" vertical="center"/>
      <protection hidden="1"/>
    </xf>
    <xf numFmtId="0" fontId="27" fillId="0" borderId="131" xfId="0" applyFont="1" applyBorder="1" applyAlignment="1" applyProtection="1">
      <alignment horizontal="center" vertical="center"/>
      <protection hidden="1"/>
    </xf>
    <xf numFmtId="0" fontId="27" fillId="0" borderId="127" xfId="0" applyFont="1" applyBorder="1" applyAlignment="1" applyProtection="1">
      <alignment horizontal="center" vertical="center"/>
      <protection hidden="1"/>
    </xf>
    <xf numFmtId="0" fontId="27" fillId="0" borderId="128" xfId="0" applyFont="1" applyBorder="1" applyAlignment="1" applyProtection="1">
      <alignment horizontal="center" vertical="center"/>
      <protection hidden="1"/>
    </xf>
    <xf numFmtId="0" fontId="27" fillId="0" borderId="129" xfId="0" applyFont="1" applyBorder="1" applyAlignment="1" applyProtection="1">
      <alignment horizontal="center" vertical="center"/>
      <protection hidden="1"/>
    </xf>
    <xf numFmtId="0" fontId="75" fillId="19" borderId="136" xfId="0" applyFont="1" applyFill="1" applyBorder="1" applyAlignment="1" applyProtection="1">
      <alignment horizontal="center" vertical="center"/>
      <protection hidden="1"/>
    </xf>
    <xf numFmtId="0" fontId="75" fillId="19" borderId="129" xfId="0" applyFont="1" applyFill="1" applyBorder="1" applyAlignment="1" applyProtection="1">
      <alignment horizontal="center" vertical="center"/>
      <protection hidden="1"/>
    </xf>
    <xf numFmtId="0" fontId="62" fillId="19" borderId="57" xfId="0" applyFont="1" applyFill="1" applyBorder="1" applyAlignment="1" applyProtection="1">
      <alignment horizontal="center" vertical="center" textRotation="90" wrapText="1"/>
      <protection hidden="1"/>
    </xf>
    <xf numFmtId="0" fontId="62" fillId="19" borderId="128" xfId="0" applyFont="1" applyFill="1" applyBorder="1" applyAlignment="1" applyProtection="1">
      <alignment horizontal="center" vertical="center" textRotation="90" wrapText="1"/>
      <protection hidden="1"/>
    </xf>
    <xf numFmtId="0" fontId="62" fillId="19" borderId="136" xfId="0" applyFont="1" applyFill="1" applyBorder="1" applyAlignment="1" applyProtection="1">
      <alignment horizontal="center" vertical="center" textRotation="90" wrapText="1"/>
      <protection hidden="1"/>
    </xf>
    <xf numFmtId="0" fontId="62" fillId="19" borderId="129" xfId="0" applyFont="1" applyFill="1" applyBorder="1" applyAlignment="1" applyProtection="1">
      <alignment horizontal="center" vertical="center" textRotation="90" wrapText="1"/>
      <protection hidden="1"/>
    </xf>
    <xf numFmtId="0" fontId="75" fillId="19" borderId="135" xfId="0" applyFont="1" applyFill="1" applyBorder="1" applyAlignment="1" applyProtection="1">
      <alignment horizontal="center" vertical="center"/>
      <protection hidden="1"/>
    </xf>
    <xf numFmtId="0" fontId="75" fillId="19" borderId="127" xfId="0" applyFont="1" applyFill="1" applyBorder="1" applyAlignment="1" applyProtection="1">
      <alignment horizontal="center" vertical="center"/>
      <protection hidden="1"/>
    </xf>
    <xf numFmtId="0" fontId="75" fillId="19" borderId="57" xfId="0" applyFont="1" applyFill="1" applyBorder="1" applyAlignment="1" applyProtection="1">
      <alignment horizontal="center" vertical="center"/>
      <protection hidden="1"/>
    </xf>
    <xf numFmtId="0" fontId="75" fillId="19" borderId="128" xfId="0" applyFont="1" applyFill="1" applyBorder="1" applyAlignment="1" applyProtection="1">
      <alignment horizontal="center" vertical="center"/>
      <protection hidden="1"/>
    </xf>
    <xf numFmtId="0" fontId="62" fillId="19" borderId="135" xfId="0" applyFont="1" applyFill="1" applyBorder="1" applyAlignment="1" applyProtection="1">
      <alignment horizontal="center" vertical="center" textRotation="90"/>
      <protection hidden="1"/>
    </xf>
    <xf numFmtId="0" fontId="62" fillId="19" borderId="127" xfId="0" applyFont="1" applyFill="1" applyBorder="1" applyAlignment="1" applyProtection="1">
      <alignment horizontal="center" vertical="center" textRotation="90"/>
      <protection hidden="1"/>
    </xf>
  </cellXfs>
  <cellStyles count="6">
    <cellStyle name="Normal 2" xfId="2" xr:uid="{00000000-0005-0000-0000-000002000000}"/>
    <cellStyle name="Normal 2 2" xfId="3" xr:uid="{00000000-0005-0000-0000-000003000000}"/>
    <cellStyle name="Normal_Sheet3" xfId="5" xr:uid="{00000000-0005-0000-0000-000004000000}"/>
    <cellStyle name="ارتباط تشعبي" xfId="1" builtinId="8"/>
    <cellStyle name="عادي" xfId="0" builtinId="0"/>
    <cellStyle name="عادي 2" xfId="4" xr:uid="{00000000-0005-0000-0000-000007000000}"/>
  </cellStyles>
  <dxfs count="41">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fill>
        <patternFill patternType="none">
          <bgColor auto="1"/>
        </patternFill>
      </fill>
      <border>
        <left/>
        <right/>
        <top/>
        <bottom/>
        <vertical/>
        <horizontal/>
      </border>
    </dxf>
    <dxf>
      <font>
        <color theme="0"/>
      </font>
      <border>
        <left/>
        <right/>
        <top/>
        <bottom/>
        <vertical/>
        <horizontal/>
      </border>
    </dxf>
    <dxf>
      <font>
        <color theme="0"/>
      </font>
      <border>
        <vertical/>
        <horizontal/>
      </border>
    </dxf>
    <dxf>
      <font>
        <color theme="0"/>
      </font>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FF0000"/>
      </font>
      <fill>
        <patternFill>
          <bgColor rgb="FFFF0000"/>
        </patternFill>
      </fill>
    </dxf>
    <dxf>
      <font>
        <color theme="0"/>
      </font>
      <fill>
        <patternFill>
          <bgColor theme="0"/>
        </patternFill>
      </fill>
    </dxf>
    <dxf>
      <font>
        <color theme="0"/>
      </font>
      <fill>
        <patternFill patternType="none">
          <bgColor auto="1"/>
        </patternFill>
      </fill>
      <border>
        <left/>
        <right/>
        <top/>
        <bottom/>
        <vertical/>
        <horizontal/>
      </border>
    </dxf>
    <dxf>
      <fill>
        <patternFill>
          <bgColor rgb="FFFF0000"/>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2DDDC"/>
        </patternFill>
      </fill>
    </dxf>
    <dxf>
      <font>
        <color theme="0"/>
      </font>
      <fill>
        <patternFill>
          <bgColor theme="0"/>
        </patternFill>
      </fill>
    </dxf>
    <dxf>
      <font>
        <color rgb="FFFF0000"/>
      </font>
      <fill>
        <patternFill>
          <bgColor rgb="FFFF0000"/>
        </patternFill>
      </fill>
    </dxf>
    <dxf>
      <font>
        <color theme="0"/>
      </font>
      <fill>
        <patternFill patternType="none">
          <bgColor auto="1"/>
        </patternFill>
      </fill>
      <border>
        <left/>
        <right/>
        <top/>
        <bottom/>
        <vertical/>
        <horizontal/>
      </border>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716280</xdr:colOff>
      <xdr:row>0</xdr:row>
      <xdr:rowOff>152400</xdr:rowOff>
    </xdr:from>
    <xdr:to>
      <xdr:col>1</xdr:col>
      <xdr:colOff>1287780</xdr:colOff>
      <xdr:row>0</xdr:row>
      <xdr:rowOff>411480</xdr:rowOff>
    </xdr:to>
    <xdr:sp macro="" textlink="">
      <xdr:nvSpPr>
        <xdr:cNvPr id="2" name="سهم: لليسار 1">
          <a:extLst>
            <a:ext uri="{FF2B5EF4-FFF2-40B4-BE49-F238E27FC236}">
              <a16:creationId xmlns:a16="http://schemas.microsoft.com/office/drawing/2014/main" id="{409428C6-9DDA-4DCA-B705-4C106185FFC8}"/>
            </a:ext>
          </a:extLst>
        </xdr:cNvPr>
        <xdr:cNvSpPr/>
      </xdr:nvSpPr>
      <xdr:spPr>
        <a:xfrm>
          <a:off x="11219177460" y="15240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106680</xdr:colOff>
      <xdr:row>0</xdr:row>
      <xdr:rowOff>137160</xdr:rowOff>
    </xdr:from>
    <xdr:to>
      <xdr:col>4</xdr:col>
      <xdr:colOff>662940</xdr:colOff>
      <xdr:row>0</xdr:row>
      <xdr:rowOff>487680</xdr:rowOff>
    </xdr:to>
    <xdr:sp macro="" textlink="">
      <xdr:nvSpPr>
        <xdr:cNvPr id="5" name="سهم: لليمين 4">
          <a:extLst>
            <a:ext uri="{FF2B5EF4-FFF2-40B4-BE49-F238E27FC236}">
              <a16:creationId xmlns:a16="http://schemas.microsoft.com/office/drawing/2014/main" id="{77568776-6EE6-4B6C-B38B-FB947CD01514}"/>
            </a:ext>
          </a:extLst>
        </xdr:cNvPr>
        <xdr:cNvSpPr/>
      </xdr:nvSpPr>
      <xdr:spPr>
        <a:xfrm>
          <a:off x="11214582600" y="137160"/>
          <a:ext cx="556260" cy="350520"/>
        </a:xfrm>
        <a:prstGeom prst="rightArrow">
          <a:avLst>
            <a:gd name="adj1" fmla="val 50000"/>
            <a:gd name="adj2" fmla="val 5678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Y"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19050</xdr:colOff>
      <xdr:row>7</xdr:row>
      <xdr:rowOff>38100</xdr:rowOff>
    </xdr:from>
    <xdr:to>
      <xdr:col>34</xdr:col>
      <xdr:colOff>19050</xdr:colOff>
      <xdr:row>9</xdr:row>
      <xdr:rowOff>238125</xdr:rowOff>
    </xdr:to>
    <xdr:pic>
      <xdr:nvPicPr>
        <xdr:cNvPr id="1030" name="صورة 1">
          <a:extLst>
            <a:ext uri="{FF2B5EF4-FFF2-40B4-BE49-F238E27FC236}">
              <a16:creationId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23115</xdr:colOff>
      <xdr:row>7</xdr:row>
      <xdr:rowOff>38879</xdr:rowOff>
    </xdr:from>
    <xdr:to>
      <xdr:col>34</xdr:col>
      <xdr:colOff>23115</xdr:colOff>
      <xdr:row>9</xdr:row>
      <xdr:rowOff>233654</xdr:rowOff>
    </xdr:to>
    <xdr:pic>
      <xdr:nvPicPr>
        <xdr:cNvPr id="3" name="صورة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591454"/>
          <a:ext cx="0" cy="804375"/>
        </a:xfrm>
        <a:prstGeom prst="rect">
          <a:avLst/>
        </a:prstGeom>
      </xdr:spPr>
    </xdr:pic>
    <xdr:clientData/>
  </xdr:twoCellAnchor>
  <xdr:oneCellAnchor>
    <xdr:from>
      <xdr:col>34</xdr:col>
      <xdr:colOff>23115</xdr:colOff>
      <xdr:row>8</xdr:row>
      <xdr:rowOff>38879</xdr:rowOff>
    </xdr:from>
    <xdr:ext cx="0" cy="804375"/>
    <xdr:pic>
      <xdr:nvPicPr>
        <xdr:cNvPr id="4" name="صورة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3692710" y="1886729"/>
          <a:ext cx="0" cy="80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114300</xdr:rowOff>
    </xdr:from>
    <xdr:to>
      <xdr:col>16</xdr:col>
      <xdr:colOff>70167</xdr:colOff>
      <xdr:row>41</xdr:row>
      <xdr:rowOff>213411</xdr:rowOff>
    </xdr:to>
    <xdr:pic>
      <xdr:nvPicPr>
        <xdr:cNvPr id="7" name="صورة 6">
          <a:extLst>
            <a:ext uri="{FF2B5EF4-FFF2-40B4-BE49-F238E27FC236}">
              <a16:creationId xmlns:a16="http://schemas.microsoft.com/office/drawing/2014/main" id="{056B22EC-B7BF-4EE8-A155-48089A2951B9}"/>
            </a:ext>
          </a:extLst>
        </xdr:cNvPr>
        <xdr:cNvPicPr>
          <a:picLocks noChangeAspect="1"/>
        </xdr:cNvPicPr>
      </xdr:nvPicPr>
      <xdr:blipFill>
        <a:blip xmlns:r="http://schemas.openxmlformats.org/officeDocument/2006/relationships" r:embed="rId1" cstate="print"/>
        <a:stretch>
          <a:fillRect/>
        </a:stretch>
      </xdr:blipFill>
      <xdr:spPr>
        <a:xfrm>
          <a:off x="17892713" y="9212580"/>
          <a:ext cx="6590347" cy="57917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GS\AppData\Roaming\Microsoft\AppData\Roaming\hp92\AppData\Roaming\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GS\AppData\Roaming\Microsoft\AppData\Roaming\Microsoft\&#1575;&#1587;&#1578;&#1605;&#1575;&#1585;&#1575;&#1578;%20&#1575;&#1604;&#1601;&#1589;&#1604;%20&#1575;&#1604;&#1575;&#1608;&#1604;%202019-2020\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0"/>
  <sheetViews>
    <sheetView showGridLines="0" rightToLeft="1" tabSelected="1" workbookViewId="0">
      <selection activeCell="B8" sqref="B8:I12"/>
    </sheetView>
  </sheetViews>
  <sheetFormatPr defaultColWidth="9" defaultRowHeight="16.8" x14ac:dyDescent="0.5"/>
  <cols>
    <col min="1" max="1" width="2.19921875" style="65" customWidth="1"/>
    <col min="2" max="2" width="4.19921875" style="65" customWidth="1"/>
    <col min="3" max="6" width="9" style="65"/>
    <col min="7" max="7" width="1.19921875" style="65" customWidth="1"/>
    <col min="8" max="8" width="12.69921875" style="65" customWidth="1"/>
    <col min="9" max="9" width="16.8984375" style="65" customWidth="1"/>
    <col min="10" max="10" width="5" style="65" customWidth="1"/>
    <col min="11" max="11" width="9" style="65" customWidth="1"/>
    <col min="12" max="12" width="2.69921875" style="65" customWidth="1"/>
    <col min="13" max="13" width="9" style="65"/>
    <col min="14" max="14" width="9" style="65" customWidth="1"/>
    <col min="15" max="15" width="3.19921875" style="65" customWidth="1"/>
    <col min="16" max="17" width="9" style="65"/>
    <col min="18" max="18" width="4.69921875" style="65" customWidth="1"/>
    <col min="19" max="19" width="2" style="65" customWidth="1"/>
    <col min="20" max="20" width="8.8984375" style="65" customWidth="1"/>
    <col min="21" max="21" width="15.19921875" style="65" customWidth="1"/>
    <col min="22" max="16384" width="9" style="65"/>
  </cols>
  <sheetData>
    <row r="1" spans="1:22" ht="27" thickBot="1" x14ac:dyDescent="0.75">
      <c r="B1" s="294" t="s">
        <v>115</v>
      </c>
      <c r="C1" s="294"/>
      <c r="D1" s="294"/>
      <c r="E1" s="294"/>
      <c r="F1" s="294"/>
      <c r="G1" s="294"/>
      <c r="H1" s="294"/>
      <c r="I1" s="294"/>
      <c r="J1" s="294"/>
      <c r="K1" s="294"/>
      <c r="L1" s="294"/>
      <c r="M1" s="294"/>
      <c r="N1" s="294"/>
      <c r="O1" s="294"/>
      <c r="P1" s="294"/>
      <c r="Q1" s="294"/>
      <c r="R1" s="294"/>
      <c r="S1" s="294"/>
      <c r="T1" s="294"/>
      <c r="U1" s="294"/>
    </row>
    <row r="2" spans="1:22" ht="19.5" customHeight="1" thickBot="1" x14ac:dyDescent="0.7">
      <c r="B2" s="295" t="s">
        <v>61</v>
      </c>
      <c r="C2" s="295"/>
      <c r="D2" s="295"/>
      <c r="E2" s="295"/>
      <c r="F2" s="295"/>
      <c r="G2" s="295"/>
      <c r="H2" s="295"/>
      <c r="I2" s="295"/>
      <c r="J2" s="66"/>
      <c r="K2" s="296" t="s">
        <v>116</v>
      </c>
      <c r="L2" s="297"/>
      <c r="M2" s="297"/>
      <c r="N2" s="297"/>
      <c r="O2" s="297"/>
      <c r="P2" s="297"/>
      <c r="Q2" s="297"/>
      <c r="R2" s="297"/>
      <c r="S2" s="297"/>
      <c r="T2" s="300" t="s">
        <v>117</v>
      </c>
      <c r="U2" s="301"/>
    </row>
    <row r="3" spans="1:22" ht="22.5" customHeight="1" thickBot="1" x14ac:dyDescent="0.7">
      <c r="A3" s="67">
        <v>1</v>
      </c>
      <c r="B3" s="304" t="s">
        <v>118</v>
      </c>
      <c r="C3" s="305"/>
      <c r="D3" s="305"/>
      <c r="E3" s="305"/>
      <c r="F3" s="305"/>
      <c r="G3" s="305"/>
      <c r="H3" s="305"/>
      <c r="I3" s="306"/>
      <c r="K3" s="298"/>
      <c r="L3" s="299"/>
      <c r="M3" s="299"/>
      <c r="N3" s="299"/>
      <c r="O3" s="299"/>
      <c r="P3" s="299"/>
      <c r="Q3" s="299"/>
      <c r="R3" s="299"/>
      <c r="S3" s="299"/>
      <c r="T3" s="302"/>
      <c r="U3" s="303"/>
    </row>
    <row r="4" spans="1:22" ht="22.5" customHeight="1" thickBot="1" x14ac:dyDescent="0.7">
      <c r="A4" s="67">
        <v>2</v>
      </c>
      <c r="B4" s="291" t="s">
        <v>119</v>
      </c>
      <c r="C4" s="292"/>
      <c r="D4" s="292"/>
      <c r="E4" s="292"/>
      <c r="F4" s="292"/>
      <c r="G4" s="292"/>
      <c r="H4" s="292"/>
      <c r="I4" s="293"/>
      <c r="K4" s="269" t="s">
        <v>15</v>
      </c>
      <c r="L4" s="270"/>
      <c r="M4" s="270"/>
      <c r="N4" s="270"/>
      <c r="O4" s="270"/>
      <c r="P4" s="270"/>
      <c r="Q4" s="270"/>
      <c r="R4" s="270"/>
      <c r="S4" s="271"/>
      <c r="T4" s="284">
        <v>1</v>
      </c>
      <c r="U4" s="285"/>
    </row>
    <row r="5" spans="1:22" ht="22.5" customHeight="1" thickBot="1" x14ac:dyDescent="0.7">
      <c r="A5" s="67"/>
      <c r="B5" s="252" t="s">
        <v>120</v>
      </c>
      <c r="C5" s="253"/>
      <c r="D5" s="253"/>
      <c r="E5" s="253"/>
      <c r="F5" s="253"/>
      <c r="G5" s="253"/>
      <c r="H5" s="253"/>
      <c r="I5" s="68"/>
      <c r="K5" s="282" t="s">
        <v>121</v>
      </c>
      <c r="L5" s="283"/>
      <c r="M5" s="283"/>
      <c r="N5" s="283"/>
      <c r="O5" s="283"/>
      <c r="P5" s="283"/>
      <c r="Q5" s="283"/>
      <c r="R5" s="283"/>
      <c r="S5" s="283"/>
      <c r="T5" s="284">
        <v>1</v>
      </c>
      <c r="U5" s="285"/>
    </row>
    <row r="6" spans="1:22" ht="22.5" customHeight="1" thickBot="1" x14ac:dyDescent="0.7">
      <c r="A6" s="67"/>
      <c r="B6" s="286" t="s">
        <v>122</v>
      </c>
      <c r="C6" s="287"/>
      <c r="D6" s="287"/>
      <c r="E6" s="287"/>
      <c r="F6" s="287"/>
      <c r="G6" s="287"/>
      <c r="H6" s="287"/>
      <c r="I6" s="288"/>
      <c r="K6" s="282" t="s">
        <v>123</v>
      </c>
      <c r="L6" s="283"/>
      <c r="M6" s="283"/>
      <c r="N6" s="283"/>
      <c r="O6" s="283"/>
      <c r="P6" s="283"/>
      <c r="Q6" s="283"/>
      <c r="R6" s="283"/>
      <c r="S6" s="283"/>
      <c r="T6" s="289" t="s">
        <v>124</v>
      </c>
      <c r="U6" s="290"/>
    </row>
    <row r="7" spans="1:22" ht="22.5" customHeight="1" thickBot="1" x14ac:dyDescent="0.75">
      <c r="A7" s="67">
        <v>3</v>
      </c>
      <c r="B7" s="252" t="s">
        <v>63</v>
      </c>
      <c r="C7" s="253"/>
      <c r="D7" s="253"/>
      <c r="E7" s="253"/>
      <c r="F7" s="253"/>
      <c r="G7" s="253"/>
      <c r="H7" s="254" t="s">
        <v>62</v>
      </c>
      <c r="I7" s="255"/>
      <c r="K7" s="256" t="s">
        <v>125</v>
      </c>
      <c r="L7" s="257"/>
      <c r="M7" s="257"/>
      <c r="N7" s="257"/>
      <c r="O7" s="257"/>
      <c r="P7" s="257"/>
      <c r="Q7" s="257"/>
      <c r="R7" s="257"/>
      <c r="S7" s="258"/>
      <c r="T7" s="259">
        <v>0.5</v>
      </c>
      <c r="U7" s="260"/>
      <c r="V7" s="69"/>
    </row>
    <row r="8" spans="1:22" ht="22.5" customHeight="1" x14ac:dyDescent="0.65">
      <c r="A8" s="67">
        <v>4</v>
      </c>
      <c r="B8" s="261" t="s">
        <v>281</v>
      </c>
      <c r="C8" s="261"/>
      <c r="D8" s="261"/>
      <c r="E8" s="261"/>
      <c r="F8" s="261"/>
      <c r="G8" s="261"/>
      <c r="H8" s="261"/>
      <c r="I8" s="261"/>
      <c r="J8" s="69"/>
      <c r="K8" s="264" t="s">
        <v>126</v>
      </c>
      <c r="L8" s="265"/>
      <c r="M8" s="265"/>
      <c r="N8" s="265"/>
      <c r="O8" s="265"/>
      <c r="P8" s="265"/>
      <c r="Q8" s="265"/>
      <c r="R8" s="265"/>
      <c r="S8" s="265"/>
      <c r="T8" s="266">
        <v>0.2</v>
      </c>
      <c r="U8" s="267"/>
    </row>
    <row r="9" spans="1:22" ht="22.5" customHeight="1" x14ac:dyDescent="0.65">
      <c r="A9" s="67"/>
      <c r="B9" s="262"/>
      <c r="C9" s="262"/>
      <c r="D9" s="262"/>
      <c r="E9" s="262"/>
      <c r="F9" s="262"/>
      <c r="G9" s="262"/>
      <c r="H9" s="262"/>
      <c r="I9" s="262"/>
      <c r="J9" s="70"/>
      <c r="K9" s="264"/>
      <c r="L9" s="265"/>
      <c r="M9" s="265"/>
      <c r="N9" s="265"/>
      <c r="O9" s="265"/>
      <c r="P9" s="265"/>
      <c r="Q9" s="265"/>
      <c r="R9" s="265"/>
      <c r="S9" s="265"/>
      <c r="T9" s="268"/>
      <c r="U9" s="267"/>
    </row>
    <row r="10" spans="1:22" ht="22.5" customHeight="1" x14ac:dyDescent="0.65">
      <c r="A10" s="67"/>
      <c r="B10" s="262"/>
      <c r="C10" s="262"/>
      <c r="D10" s="262"/>
      <c r="E10" s="262"/>
      <c r="F10" s="262"/>
      <c r="G10" s="262"/>
      <c r="H10" s="262"/>
      <c r="I10" s="262"/>
      <c r="K10" s="269" t="s">
        <v>127</v>
      </c>
      <c r="L10" s="270"/>
      <c r="M10" s="270"/>
      <c r="N10" s="270"/>
      <c r="O10" s="270"/>
      <c r="P10" s="270"/>
      <c r="Q10" s="270"/>
      <c r="R10" s="270"/>
      <c r="S10" s="271"/>
      <c r="T10" s="272">
        <v>0.2</v>
      </c>
      <c r="U10" s="273"/>
    </row>
    <row r="11" spans="1:22" ht="45" customHeight="1" x14ac:dyDescent="0.65">
      <c r="A11" s="67"/>
      <c r="B11" s="262"/>
      <c r="C11" s="262"/>
      <c r="D11" s="262"/>
      <c r="E11" s="262"/>
      <c r="F11" s="262"/>
      <c r="G11" s="262"/>
      <c r="H11" s="262"/>
      <c r="I11" s="262"/>
      <c r="K11" s="274" t="s">
        <v>128</v>
      </c>
      <c r="L11" s="275"/>
      <c r="M11" s="275"/>
      <c r="N11" s="275"/>
      <c r="O11" s="275"/>
      <c r="P11" s="275"/>
      <c r="Q11" s="275"/>
      <c r="R11" s="275"/>
      <c r="S11" s="276"/>
      <c r="T11" s="272">
        <v>0.2</v>
      </c>
      <c r="U11" s="273"/>
    </row>
    <row r="12" spans="1:22" ht="22.5" customHeight="1" thickBot="1" x14ac:dyDescent="0.7">
      <c r="A12" s="67"/>
      <c r="B12" s="263"/>
      <c r="C12" s="263"/>
      <c r="D12" s="263"/>
      <c r="E12" s="263"/>
      <c r="F12" s="263"/>
      <c r="G12" s="263"/>
      <c r="H12" s="263"/>
      <c r="I12" s="263"/>
      <c r="K12" s="277" t="s">
        <v>129</v>
      </c>
      <c r="L12" s="278"/>
      <c r="M12" s="278"/>
      <c r="N12" s="278"/>
      <c r="O12" s="278"/>
      <c r="P12" s="278"/>
      <c r="Q12" s="278"/>
      <c r="R12" s="278"/>
      <c r="S12" s="279"/>
      <c r="T12" s="280">
        <v>0.5</v>
      </c>
      <c r="U12" s="281"/>
    </row>
    <row r="13" spans="1:22" ht="22.5" customHeight="1" thickBot="1" x14ac:dyDescent="0.7">
      <c r="A13" s="67">
        <v>5</v>
      </c>
      <c r="B13" s="242" t="s">
        <v>130</v>
      </c>
      <c r="C13" s="243"/>
      <c r="D13" s="243"/>
      <c r="E13" s="243"/>
      <c r="F13" s="243"/>
      <c r="G13" s="243"/>
      <c r="H13" s="243"/>
      <c r="I13" s="244"/>
      <c r="K13" s="245" t="s">
        <v>131</v>
      </c>
      <c r="L13" s="246"/>
      <c r="M13" s="246"/>
      <c r="N13" s="246"/>
      <c r="O13" s="246"/>
      <c r="P13" s="246"/>
      <c r="Q13" s="246"/>
      <c r="R13" s="246"/>
      <c r="S13" s="246"/>
      <c r="T13" s="246"/>
      <c r="U13" s="246"/>
    </row>
    <row r="14" spans="1:22" ht="22.5" customHeight="1" x14ac:dyDescent="0.65">
      <c r="A14" s="67"/>
      <c r="B14" s="247" t="s">
        <v>212</v>
      </c>
      <c r="C14" s="247"/>
      <c r="D14" s="247"/>
      <c r="E14" s="247"/>
      <c r="F14" s="247"/>
      <c r="G14" s="247"/>
      <c r="H14" s="247"/>
      <c r="I14" s="247"/>
      <c r="K14" s="246"/>
      <c r="L14" s="246"/>
      <c r="M14" s="246"/>
      <c r="N14" s="246"/>
      <c r="O14" s="246"/>
      <c r="P14" s="246"/>
      <c r="Q14" s="246"/>
      <c r="R14" s="246"/>
      <c r="S14" s="246"/>
      <c r="T14" s="246"/>
      <c r="U14" s="246"/>
    </row>
    <row r="15" spans="1:22" ht="3.75" customHeight="1" x14ac:dyDescent="0.65">
      <c r="A15" s="67"/>
      <c r="B15" s="248"/>
      <c r="C15" s="248"/>
      <c r="D15" s="248"/>
      <c r="E15" s="248"/>
      <c r="F15" s="248"/>
      <c r="G15" s="248"/>
      <c r="H15" s="248"/>
      <c r="I15" s="248"/>
      <c r="K15" s="250"/>
      <c r="L15" s="250"/>
      <c r="M15" s="250"/>
      <c r="N15" s="250"/>
      <c r="O15" s="250"/>
      <c r="P15" s="250"/>
      <c r="Q15" s="250"/>
      <c r="R15" s="250"/>
      <c r="S15" s="250"/>
      <c r="T15" s="250"/>
      <c r="U15" s="250"/>
    </row>
    <row r="16" spans="1:22" ht="26.25" customHeight="1" x14ac:dyDescent="0.65">
      <c r="A16" s="67">
        <v>6</v>
      </c>
      <c r="B16" s="248"/>
      <c r="C16" s="248"/>
      <c r="D16" s="248"/>
      <c r="E16" s="248"/>
      <c r="F16" s="248"/>
      <c r="G16" s="248"/>
      <c r="H16" s="248"/>
      <c r="I16" s="248"/>
      <c r="K16" s="250"/>
      <c r="L16" s="250"/>
      <c r="M16" s="250"/>
      <c r="N16" s="250"/>
      <c r="O16" s="250"/>
      <c r="P16" s="250"/>
      <c r="Q16" s="250"/>
      <c r="R16" s="250"/>
      <c r="S16" s="250"/>
      <c r="T16" s="250"/>
      <c r="U16" s="250"/>
    </row>
    <row r="17" spans="2:21" ht="19.5" customHeight="1" x14ac:dyDescent="0.5">
      <c r="B17" s="248"/>
      <c r="C17" s="248"/>
      <c r="D17" s="248"/>
      <c r="E17" s="248"/>
      <c r="F17" s="248"/>
      <c r="G17" s="248"/>
      <c r="H17" s="248"/>
      <c r="I17" s="248"/>
      <c r="K17" s="250"/>
      <c r="L17" s="250"/>
      <c r="M17" s="250"/>
      <c r="N17" s="250"/>
      <c r="O17" s="250"/>
      <c r="P17" s="250"/>
      <c r="Q17" s="250"/>
      <c r="R17" s="250"/>
      <c r="S17" s="250"/>
      <c r="T17" s="250"/>
      <c r="U17" s="250"/>
    </row>
    <row r="18" spans="2:21" ht="19.5" customHeight="1" x14ac:dyDescent="0.65">
      <c r="B18" s="248"/>
      <c r="C18" s="248"/>
      <c r="D18" s="248"/>
      <c r="E18" s="248"/>
      <c r="F18" s="248"/>
      <c r="G18" s="248"/>
      <c r="H18" s="248"/>
      <c r="I18" s="248"/>
      <c r="K18" s="71"/>
      <c r="M18" s="250"/>
      <c r="N18" s="250"/>
      <c r="O18" s="250"/>
      <c r="P18" s="72"/>
      <c r="Q18" s="251"/>
      <c r="R18" s="251"/>
      <c r="S18" s="71"/>
      <c r="T18" s="71"/>
      <c r="U18" s="71"/>
    </row>
    <row r="19" spans="2:21" ht="21.75" customHeight="1" thickBot="1" x14ac:dyDescent="0.55000000000000004">
      <c r="B19" s="249"/>
      <c r="C19" s="249"/>
      <c r="D19" s="249"/>
      <c r="E19" s="249"/>
      <c r="F19" s="249"/>
      <c r="G19" s="249"/>
      <c r="H19" s="249"/>
      <c r="I19" s="249"/>
    </row>
    <row r="20" spans="2:21" ht="3.75" customHeight="1" x14ac:dyDescent="0.5"/>
  </sheetData>
  <mergeCells count="33">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P76"/>
  <sheetViews>
    <sheetView showGridLines="0" rightToLeft="1" zoomScaleNormal="100" workbookViewId="0">
      <selection activeCell="C5" sqref="C5"/>
    </sheetView>
  </sheetViews>
  <sheetFormatPr defaultColWidth="9" defaultRowHeight="13.8" x14ac:dyDescent="0.25"/>
  <cols>
    <col min="1" max="1" width="13.8984375" style="1" bestFit="1" customWidth="1"/>
    <col min="2" max="2" width="22.19921875" style="1" customWidth="1"/>
    <col min="3" max="3" width="18.8984375" style="1" customWidth="1"/>
    <col min="4" max="4" width="27.3984375" style="1" customWidth="1"/>
    <col min="5" max="5" width="23.59765625" style="1" customWidth="1"/>
    <col min="6" max="6" width="20" style="1" customWidth="1"/>
    <col min="7" max="7" width="11.19921875" style="1" bestFit="1" customWidth="1"/>
    <col min="8" max="8" width="18.8984375" style="1" hidden="1" customWidth="1"/>
    <col min="9" max="9" width="3.19921875" style="1" hidden="1" customWidth="1"/>
    <col min="10" max="10" width="14.19921875" style="1" hidden="1" customWidth="1"/>
    <col min="11" max="11" width="11" style="1" hidden="1" customWidth="1"/>
    <col min="12" max="12" width="3.19921875" style="1" hidden="1" customWidth="1"/>
    <col min="13" max="13" width="9" style="1" hidden="1" customWidth="1"/>
    <col min="14" max="14" width="20" style="156" hidden="1" customWidth="1"/>
    <col min="15" max="15" width="3" style="156" hidden="1" customWidth="1"/>
    <col min="16" max="16" width="13.69921875" style="1" hidden="1" customWidth="1"/>
    <col min="17" max="18" width="9" style="1" hidden="1" customWidth="1"/>
    <col min="19" max="19" width="2.19921875" style="1" hidden="1" customWidth="1"/>
    <col min="20" max="20" width="5.19921875" style="1" hidden="1" customWidth="1"/>
    <col min="21" max="21" width="2.19921875" style="1" hidden="1" customWidth="1"/>
    <col min="22" max="22" width="3.69921875" style="1" hidden="1" customWidth="1"/>
    <col min="23" max="23" width="2.19921875" style="1" hidden="1" customWidth="1"/>
    <col min="24" max="24" width="10.19921875" style="1" hidden="1" customWidth="1"/>
    <col min="25" max="26" width="0" style="1" hidden="1" customWidth="1"/>
    <col min="27" max="27" width="3.19921875" style="1" hidden="1" customWidth="1"/>
    <col min="28" max="28" width="5.19921875" style="1" hidden="1" customWidth="1"/>
    <col min="29" max="35" width="0" style="1" hidden="1" customWidth="1"/>
    <col min="36" max="36" width="5.69921875" style="1" customWidth="1"/>
    <col min="37" max="37" width="1.59765625" style="1" customWidth="1"/>
    <col min="38" max="38" width="5.59765625" style="1" customWidth="1"/>
    <col min="39" max="16384" width="9" style="1"/>
  </cols>
  <sheetData>
    <row r="1" spans="1:42" ht="43.95" customHeight="1" thickBot="1" x14ac:dyDescent="0.45">
      <c r="A1" s="308" t="s">
        <v>158</v>
      </c>
      <c r="B1" s="308"/>
      <c r="C1" s="240"/>
      <c r="D1" s="241"/>
      <c r="E1" s="237" t="s">
        <v>284</v>
      </c>
      <c r="F1" s="236"/>
      <c r="G1" s="235" t="str">
        <f>IF('اختيار المقررات'!F2="معاقب","معاقب","")</f>
        <v/>
      </c>
    </row>
    <row r="2" spans="1:42" ht="20.399999999999999" customHeight="1" x14ac:dyDescent="0.25">
      <c r="A2" s="309">
        <f>F1</f>
        <v>0</v>
      </c>
      <c r="B2" s="309"/>
      <c r="C2" s="309"/>
      <c r="D2" s="309"/>
      <c r="E2" s="309"/>
      <c r="F2" s="309"/>
      <c r="G2" s="309"/>
    </row>
    <row r="3" spans="1:42" ht="14.4" thickBot="1" x14ac:dyDescent="0.3">
      <c r="I3" s="307" t="s">
        <v>10</v>
      </c>
      <c r="J3" s="307"/>
      <c r="L3" s="307" t="s">
        <v>56</v>
      </c>
      <c r="M3" s="307"/>
      <c r="N3" s="1"/>
      <c r="O3" s="307"/>
      <c r="P3" s="307"/>
      <c r="S3" s="307" t="s">
        <v>159</v>
      </c>
      <c r="T3" s="307"/>
      <c r="U3" s="307" t="s">
        <v>11</v>
      </c>
      <c r="V3" s="307"/>
      <c r="X3" s="1" t="s">
        <v>9</v>
      </c>
      <c r="AA3" s="1">
        <v>1</v>
      </c>
      <c r="AB3" s="1">
        <v>1950</v>
      </c>
    </row>
    <row r="4" spans="1:42" ht="34.200000000000003" customHeight="1" thickTop="1" x14ac:dyDescent="0.25">
      <c r="A4" s="157" t="s">
        <v>52</v>
      </c>
      <c r="B4" s="157" t="s">
        <v>164</v>
      </c>
      <c r="C4" s="157" t="s">
        <v>87</v>
      </c>
      <c r="D4" s="158" t="s">
        <v>165</v>
      </c>
      <c r="E4" s="158" t="s">
        <v>97</v>
      </c>
      <c r="F4" s="157" t="s">
        <v>55</v>
      </c>
      <c r="G4" s="159" t="s">
        <v>9</v>
      </c>
      <c r="I4" s="82"/>
      <c r="J4" s="82"/>
      <c r="L4" s="82"/>
      <c r="M4" s="82"/>
      <c r="N4" s="1"/>
      <c r="O4" s="82"/>
      <c r="P4" s="82"/>
      <c r="S4" s="82"/>
      <c r="T4" s="82"/>
      <c r="U4" s="82"/>
      <c r="V4" s="82"/>
    </row>
    <row r="5" spans="1:42" ht="34.200000000000003" customHeight="1" thickBot="1" x14ac:dyDescent="0.3">
      <c r="A5" s="160"/>
      <c r="B5" s="161"/>
      <c r="C5" s="161"/>
      <c r="D5" s="160"/>
      <c r="E5" s="160"/>
      <c r="F5" s="161"/>
      <c r="G5" s="162"/>
      <c r="I5" s="82"/>
      <c r="J5" s="82"/>
      <c r="L5" s="82"/>
      <c r="M5" s="82"/>
      <c r="N5" s="1"/>
      <c r="O5" s="82"/>
      <c r="P5" s="82"/>
      <c r="S5" s="82"/>
      <c r="T5" s="82"/>
      <c r="U5" s="82"/>
      <c r="V5" s="82"/>
    </row>
    <row r="6" spans="1:42" ht="34.200000000000003" customHeight="1" thickTop="1" x14ac:dyDescent="0.25">
      <c r="A6" s="163" t="s">
        <v>49</v>
      </c>
      <c r="B6" s="164" t="s">
        <v>50</v>
      </c>
      <c r="C6" s="163" t="s">
        <v>66</v>
      </c>
      <c r="D6" s="164"/>
      <c r="E6" s="164"/>
      <c r="F6" s="165"/>
      <c r="G6" s="163"/>
      <c r="I6" s="1">
        <v>1</v>
      </c>
      <c r="J6" s="1" t="s">
        <v>109</v>
      </c>
      <c r="L6" s="166" t="s">
        <v>160</v>
      </c>
      <c r="M6" s="1" t="s">
        <v>90</v>
      </c>
      <c r="N6" s="1"/>
      <c r="S6" s="1">
        <v>1</v>
      </c>
      <c r="T6" s="1" t="s">
        <v>91</v>
      </c>
      <c r="U6" s="1">
        <v>1</v>
      </c>
      <c r="V6" s="1" t="s">
        <v>107</v>
      </c>
      <c r="W6" s="1">
        <v>1</v>
      </c>
      <c r="X6" s="1" t="s">
        <v>133</v>
      </c>
      <c r="AA6" s="1">
        <v>2</v>
      </c>
      <c r="AB6" s="1">
        <v>1951</v>
      </c>
    </row>
    <row r="7" spans="1:42" s="168" customFormat="1" ht="34.200000000000003" hidden="1" customHeight="1" x14ac:dyDescent="0.25">
      <c r="A7" s="172" t="e">
        <f>IF(A8&lt;&gt;"",A8,VLOOKUP($C$1,#REF!,3,0))</f>
        <v>#REF!</v>
      </c>
      <c r="B7" s="167" t="e">
        <f>IF(B8&lt;&gt;"",B8,VLOOKUP($C$1,#REF!,4,0))</f>
        <v>#REF!</v>
      </c>
      <c r="C7" s="172" t="e">
        <f>IF(C8&lt;&gt;"",C8,VLOOKUP($C$1,#REF!,3,0))</f>
        <v>#REF!</v>
      </c>
      <c r="D7" s="167"/>
      <c r="E7" s="167"/>
      <c r="F7" s="173"/>
      <c r="G7" s="172"/>
      <c r="I7" s="1">
        <v>2</v>
      </c>
      <c r="J7" s="1" t="s">
        <v>111</v>
      </c>
      <c r="L7" s="166" t="s">
        <v>161</v>
      </c>
      <c r="M7" s="1" t="s">
        <v>93</v>
      </c>
      <c r="N7" s="1"/>
      <c r="O7" s="156"/>
      <c r="P7" s="1"/>
      <c r="Q7" s="1"/>
      <c r="R7" s="1"/>
      <c r="S7" s="1">
        <v>2</v>
      </c>
      <c r="T7" s="1" t="s">
        <v>110</v>
      </c>
      <c r="U7" s="1">
        <v>2</v>
      </c>
      <c r="V7" s="1" t="s">
        <v>108</v>
      </c>
      <c r="W7" s="1">
        <v>2</v>
      </c>
      <c r="X7" s="1" t="s">
        <v>162</v>
      </c>
      <c r="Y7" s="1"/>
      <c r="AA7" s="1">
        <v>3</v>
      </c>
      <c r="AB7" s="1">
        <v>1952</v>
      </c>
    </row>
    <row r="8" spans="1:42" ht="34.200000000000003" customHeight="1" thickBot="1" x14ac:dyDescent="0.3">
      <c r="A8" s="169"/>
      <c r="B8" s="161"/>
      <c r="C8" s="169"/>
      <c r="D8" s="161"/>
      <c r="E8" s="161"/>
      <c r="F8" s="162"/>
      <c r="G8" s="169"/>
      <c r="I8" s="1">
        <v>3</v>
      </c>
      <c r="J8" s="1" t="s">
        <v>183</v>
      </c>
      <c r="L8" s="166" t="s">
        <v>163</v>
      </c>
      <c r="M8" s="1" t="s">
        <v>92</v>
      </c>
      <c r="N8" s="1"/>
      <c r="S8" s="1">
        <v>6</v>
      </c>
      <c r="T8" s="1" t="s">
        <v>149</v>
      </c>
      <c r="W8" s="1">
        <v>3</v>
      </c>
      <c r="X8" s="1" t="s">
        <v>134</v>
      </c>
      <c r="AA8" s="1">
        <v>4</v>
      </c>
      <c r="AB8" s="1">
        <v>1953</v>
      </c>
      <c r="AJ8" s="233"/>
      <c r="AK8" s="233"/>
      <c r="AL8" s="233"/>
      <c r="AM8" s="233"/>
      <c r="AN8" s="233"/>
      <c r="AO8" s="233"/>
      <c r="AP8" s="233"/>
    </row>
    <row r="9" spans="1:42" ht="34.200000000000003" customHeight="1" thickTop="1" x14ac:dyDescent="0.25">
      <c r="A9" s="170" t="s">
        <v>51</v>
      </c>
      <c r="B9" s="157" t="s">
        <v>6</v>
      </c>
      <c r="C9" s="157" t="s">
        <v>10</v>
      </c>
      <c r="D9" s="159" t="s">
        <v>11</v>
      </c>
      <c r="E9" s="170" t="s">
        <v>100</v>
      </c>
      <c r="F9" s="157" t="s">
        <v>53</v>
      </c>
      <c r="G9" s="159" t="s">
        <v>54</v>
      </c>
      <c r="I9" s="1">
        <v>4</v>
      </c>
      <c r="J9" s="1" t="s">
        <v>113</v>
      </c>
      <c r="L9" s="166" t="s">
        <v>167</v>
      </c>
      <c r="M9" s="1" t="s">
        <v>94</v>
      </c>
      <c r="N9" s="1"/>
      <c r="S9" s="156"/>
      <c r="W9" s="1">
        <v>4</v>
      </c>
      <c r="X9" s="1" t="s">
        <v>136</v>
      </c>
      <c r="AA9" s="1">
        <v>5</v>
      </c>
      <c r="AB9" s="1">
        <v>1954</v>
      </c>
    </row>
    <row r="10" spans="1:42" ht="34.200000000000003" hidden="1" customHeight="1" x14ac:dyDescent="0.25">
      <c r="A10" s="174" t="e">
        <f>IF(A11&lt;&gt;"",A11,VLOOKUP($C$1,#REF!,6,0))</f>
        <v>#REF!</v>
      </c>
      <c r="B10" s="167" t="e">
        <f>IF(B11&lt;&gt;"",B11,VLOOKUP($C$1,#REF!,7,0))</f>
        <v>#REF!</v>
      </c>
      <c r="C10" s="167" t="e">
        <f>IF(C11&lt;&gt;"",C11,VLOOKUP($C$1,#REF!,8,0))</f>
        <v>#REF!</v>
      </c>
      <c r="D10" s="173" t="e">
        <f>IF(D11&lt;&gt;"",D11,VLOOKUP($C$1,#REF!,5,0))</f>
        <v>#REF!</v>
      </c>
      <c r="E10" s="172" t="e">
        <f>IF(E11&lt;&gt;"",E11,VLOOKUP($C$1,#REF!,11,0))</f>
        <v>#REF!</v>
      </c>
      <c r="F10" s="167" t="e">
        <f>IF(F11&lt;&gt;"",F11,VLOOKUP($C$1,#REF!,12,0))</f>
        <v>#REF!</v>
      </c>
      <c r="G10" s="173" t="e">
        <f>IF(G11&lt;&gt;"",G11,VLOOKUP($C$1,#REF!,13,0))</f>
        <v>#REF!</v>
      </c>
      <c r="I10" s="1">
        <v>5</v>
      </c>
      <c r="J10" s="1" t="s">
        <v>112</v>
      </c>
      <c r="L10" s="166" t="s">
        <v>168</v>
      </c>
      <c r="M10" s="1" t="s">
        <v>95</v>
      </c>
      <c r="N10" s="1"/>
      <c r="S10" s="156"/>
      <c r="W10" s="1">
        <v>5</v>
      </c>
      <c r="X10" s="1" t="s">
        <v>132</v>
      </c>
      <c r="AA10" s="1">
        <v>6</v>
      </c>
      <c r="AB10" s="1">
        <v>1955</v>
      </c>
    </row>
    <row r="11" spans="1:42" ht="34.200000000000003" customHeight="1" thickBot="1" x14ac:dyDescent="0.3">
      <c r="A11" s="171"/>
      <c r="B11" s="161"/>
      <c r="C11" s="161"/>
      <c r="D11" s="162"/>
      <c r="E11" s="169"/>
      <c r="F11" s="161"/>
      <c r="G11" s="162"/>
      <c r="I11" s="1">
        <v>6</v>
      </c>
      <c r="J11" s="1" t="s">
        <v>114</v>
      </c>
      <c r="L11" s="166" t="s">
        <v>166</v>
      </c>
      <c r="M11" s="1" t="s">
        <v>96</v>
      </c>
      <c r="N11" s="1"/>
      <c r="W11" s="1">
        <v>6</v>
      </c>
      <c r="X11" s="1" t="s">
        <v>135</v>
      </c>
      <c r="AA11" s="1">
        <v>7</v>
      </c>
      <c r="AB11" s="1">
        <v>1956</v>
      </c>
      <c r="AK11" s="234"/>
      <c r="AL11" s="233"/>
      <c r="AM11" s="233"/>
      <c r="AN11" s="233"/>
      <c r="AO11" s="233"/>
      <c r="AP11" s="233"/>
    </row>
    <row r="12" spans="1:42" ht="23.25" customHeight="1" thickTop="1" x14ac:dyDescent="0.25">
      <c r="I12" s="1">
        <v>7</v>
      </c>
      <c r="J12" s="1" t="s">
        <v>137</v>
      </c>
      <c r="L12" s="166" t="s">
        <v>169</v>
      </c>
      <c r="M12" s="1" t="s">
        <v>99</v>
      </c>
      <c r="N12" s="1"/>
      <c r="W12" s="1">
        <v>7</v>
      </c>
      <c r="X12" s="1" t="s">
        <v>59</v>
      </c>
      <c r="AA12" s="1">
        <v>8</v>
      </c>
      <c r="AB12" s="1">
        <v>1957</v>
      </c>
    </row>
    <row r="13" spans="1:42" ht="33.75" customHeight="1" x14ac:dyDescent="0.25">
      <c r="I13" s="1">
        <v>8</v>
      </c>
      <c r="J13" s="1" t="s">
        <v>171</v>
      </c>
      <c r="L13" s="166" t="s">
        <v>170</v>
      </c>
      <c r="M13" s="1" t="s">
        <v>104</v>
      </c>
      <c r="N13" s="1"/>
      <c r="W13" s="1">
        <v>8</v>
      </c>
      <c r="X13" s="1" t="s">
        <v>60</v>
      </c>
      <c r="AA13" s="1">
        <v>9</v>
      </c>
      <c r="AB13" s="1">
        <v>1958</v>
      </c>
    </row>
    <row r="14" spans="1:42" ht="23.25" customHeight="1" x14ac:dyDescent="0.25">
      <c r="I14" s="1">
        <v>9</v>
      </c>
      <c r="J14" s="1" t="s">
        <v>184</v>
      </c>
      <c r="L14" s="166" t="s">
        <v>172</v>
      </c>
      <c r="M14" s="1" t="s">
        <v>105</v>
      </c>
      <c r="N14" s="1"/>
      <c r="O14" s="1"/>
      <c r="W14" s="1">
        <v>9</v>
      </c>
      <c r="X14" s="1" t="s">
        <v>156</v>
      </c>
      <c r="AA14" s="1">
        <v>10</v>
      </c>
      <c r="AB14" s="1">
        <v>1959</v>
      </c>
    </row>
    <row r="15" spans="1:42" ht="33.75" customHeight="1" x14ac:dyDescent="0.25">
      <c r="I15" s="1">
        <v>10</v>
      </c>
      <c r="J15" s="1" t="s">
        <v>185</v>
      </c>
      <c r="L15" s="166" t="s">
        <v>173</v>
      </c>
      <c r="M15" s="1" t="s">
        <v>98</v>
      </c>
      <c r="N15" s="1"/>
      <c r="O15" s="1"/>
      <c r="AA15" s="1">
        <v>11</v>
      </c>
      <c r="AB15" s="1">
        <v>1960</v>
      </c>
    </row>
    <row r="16" spans="1:42" x14ac:dyDescent="0.25">
      <c r="I16" s="1">
        <v>11</v>
      </c>
      <c r="J16" s="1" t="s">
        <v>186</v>
      </c>
      <c r="L16" s="166" t="s">
        <v>174</v>
      </c>
      <c r="M16" s="1" t="s">
        <v>106</v>
      </c>
      <c r="N16" s="1"/>
      <c r="O16" s="1"/>
      <c r="AA16" s="1">
        <v>12</v>
      </c>
      <c r="AB16" s="1">
        <v>1961</v>
      </c>
    </row>
    <row r="17" spans="7:28" x14ac:dyDescent="0.25">
      <c r="I17" s="1">
        <v>12</v>
      </c>
      <c r="J17" s="1" t="s">
        <v>187</v>
      </c>
      <c r="L17" s="166" t="s">
        <v>175</v>
      </c>
      <c r="M17" s="1" t="s">
        <v>103</v>
      </c>
      <c r="N17" s="1"/>
      <c r="O17" s="1"/>
      <c r="AA17" s="1">
        <v>13</v>
      </c>
      <c r="AB17" s="1">
        <v>1962</v>
      </c>
    </row>
    <row r="18" spans="7:28" x14ac:dyDescent="0.25">
      <c r="I18" s="1">
        <v>13</v>
      </c>
      <c r="J18" s="1" t="s">
        <v>188</v>
      </c>
      <c r="L18" s="166" t="s">
        <v>176</v>
      </c>
      <c r="M18" s="1" t="s">
        <v>101</v>
      </c>
      <c r="N18" s="1"/>
      <c r="O18" s="1"/>
      <c r="AA18" s="1">
        <v>14</v>
      </c>
      <c r="AB18" s="1">
        <v>1963</v>
      </c>
    </row>
    <row r="19" spans="7:28" x14ac:dyDescent="0.25">
      <c r="I19" s="1">
        <v>14</v>
      </c>
      <c r="J19" s="1" t="s">
        <v>189</v>
      </c>
      <c r="L19" s="166" t="s">
        <v>177</v>
      </c>
      <c r="M19" s="1" t="s">
        <v>102</v>
      </c>
      <c r="N19" s="1"/>
      <c r="O19" s="1"/>
      <c r="AA19" s="1">
        <v>15</v>
      </c>
      <c r="AB19" s="1">
        <v>1964</v>
      </c>
    </row>
    <row r="20" spans="7:28" x14ac:dyDescent="0.25">
      <c r="I20" s="1">
        <v>15</v>
      </c>
      <c r="J20" s="1" t="s">
        <v>210</v>
      </c>
      <c r="L20" s="166" t="s">
        <v>178</v>
      </c>
      <c r="M20" s="1" t="s">
        <v>148</v>
      </c>
      <c r="AA20" s="1">
        <v>16</v>
      </c>
      <c r="AB20" s="1">
        <v>1965</v>
      </c>
    </row>
    <row r="21" spans="7:28" x14ac:dyDescent="0.25">
      <c r="I21" s="1">
        <v>16</v>
      </c>
      <c r="J21" s="1" t="s">
        <v>211</v>
      </c>
      <c r="L21" s="166" t="s">
        <v>179</v>
      </c>
      <c r="M21" s="1" t="s">
        <v>180</v>
      </c>
      <c r="AA21" s="1">
        <v>17</v>
      </c>
      <c r="AB21" s="1">
        <v>1966</v>
      </c>
    </row>
    <row r="22" spans="7:28" x14ac:dyDescent="0.25">
      <c r="AA22" s="1">
        <v>18</v>
      </c>
      <c r="AB22" s="1">
        <v>1967</v>
      </c>
    </row>
    <row r="23" spans="7:28" x14ac:dyDescent="0.25">
      <c r="G23" s="43" t="s">
        <v>107</v>
      </c>
      <c r="AA23" s="1">
        <v>19</v>
      </c>
      <c r="AB23" s="1">
        <v>1968</v>
      </c>
    </row>
    <row r="24" spans="7:28" x14ac:dyDescent="0.25">
      <c r="G24" s="43" t="s">
        <v>108</v>
      </c>
      <c r="AA24" s="1">
        <v>20</v>
      </c>
      <c r="AB24" s="1">
        <v>1969</v>
      </c>
    </row>
    <row r="25" spans="7:28" x14ac:dyDescent="0.25">
      <c r="AA25" s="1">
        <v>21</v>
      </c>
      <c r="AB25" s="1">
        <v>1970</v>
      </c>
    </row>
    <row r="26" spans="7:28" x14ac:dyDescent="0.25">
      <c r="AA26" s="1">
        <v>22</v>
      </c>
      <c r="AB26" s="1">
        <v>1971</v>
      </c>
    </row>
    <row r="27" spans="7:28" x14ac:dyDescent="0.25">
      <c r="AA27" s="1">
        <v>23</v>
      </c>
      <c r="AB27" s="1">
        <v>1972</v>
      </c>
    </row>
    <row r="28" spans="7:28" x14ac:dyDescent="0.25">
      <c r="AA28" s="1">
        <v>24</v>
      </c>
      <c r="AB28" s="1">
        <v>1973</v>
      </c>
    </row>
    <row r="29" spans="7:28" x14ac:dyDescent="0.25">
      <c r="AA29" s="1">
        <v>25</v>
      </c>
      <c r="AB29" s="1">
        <v>1974</v>
      </c>
    </row>
    <row r="30" spans="7:28" x14ac:dyDescent="0.25">
      <c r="AA30" s="1">
        <v>26</v>
      </c>
      <c r="AB30" s="1">
        <v>1975</v>
      </c>
    </row>
    <row r="31" spans="7:28" x14ac:dyDescent="0.25">
      <c r="AA31" s="1">
        <v>27</v>
      </c>
      <c r="AB31" s="1">
        <v>1976</v>
      </c>
    </row>
    <row r="32" spans="7:28" x14ac:dyDescent="0.25">
      <c r="AA32" s="1">
        <v>28</v>
      </c>
      <c r="AB32" s="1">
        <v>1977</v>
      </c>
    </row>
    <row r="33" spans="27:28" x14ac:dyDescent="0.25">
      <c r="AA33" s="1">
        <v>29</v>
      </c>
      <c r="AB33" s="1">
        <v>1978</v>
      </c>
    </row>
    <row r="34" spans="27:28" x14ac:dyDescent="0.25">
      <c r="AA34" s="1">
        <v>30</v>
      </c>
      <c r="AB34" s="1">
        <v>1979</v>
      </c>
    </row>
    <row r="35" spans="27:28" x14ac:dyDescent="0.25">
      <c r="AA35" s="1">
        <v>31</v>
      </c>
      <c r="AB35" s="1">
        <v>1980</v>
      </c>
    </row>
    <row r="36" spans="27:28" x14ac:dyDescent="0.25">
      <c r="AA36" s="1">
        <v>32</v>
      </c>
      <c r="AB36" s="1">
        <v>1981</v>
      </c>
    </row>
    <row r="37" spans="27:28" x14ac:dyDescent="0.25">
      <c r="AA37" s="1">
        <v>33</v>
      </c>
      <c r="AB37" s="1">
        <v>1982</v>
      </c>
    </row>
    <row r="38" spans="27:28" x14ac:dyDescent="0.25">
      <c r="AA38" s="1">
        <v>34</v>
      </c>
      <c r="AB38" s="1">
        <v>1983</v>
      </c>
    </row>
    <row r="39" spans="27:28" x14ac:dyDescent="0.25">
      <c r="AA39" s="1">
        <v>35</v>
      </c>
      <c r="AB39" s="1">
        <v>1984</v>
      </c>
    </row>
    <row r="40" spans="27:28" x14ac:dyDescent="0.25">
      <c r="AA40" s="1">
        <v>36</v>
      </c>
      <c r="AB40" s="1">
        <v>1985</v>
      </c>
    </row>
    <row r="41" spans="27:28" x14ac:dyDescent="0.25">
      <c r="AA41" s="1">
        <v>37</v>
      </c>
      <c r="AB41" s="1">
        <v>1986</v>
      </c>
    </row>
    <row r="42" spans="27:28" x14ac:dyDescent="0.25">
      <c r="AA42" s="1">
        <v>38</v>
      </c>
      <c r="AB42" s="1">
        <v>1987</v>
      </c>
    </row>
    <row r="43" spans="27:28" x14ac:dyDescent="0.25">
      <c r="AA43" s="1">
        <v>39</v>
      </c>
      <c r="AB43" s="1">
        <v>1988</v>
      </c>
    </row>
    <row r="44" spans="27:28" x14ac:dyDescent="0.25">
      <c r="AA44" s="1">
        <v>40</v>
      </c>
      <c r="AB44" s="1">
        <v>1989</v>
      </c>
    </row>
    <row r="45" spans="27:28" x14ac:dyDescent="0.25">
      <c r="AA45" s="1">
        <v>41</v>
      </c>
      <c r="AB45" s="1">
        <v>1990</v>
      </c>
    </row>
    <row r="46" spans="27:28" x14ac:dyDescent="0.25">
      <c r="AA46" s="1">
        <v>42</v>
      </c>
      <c r="AB46" s="1">
        <v>1991</v>
      </c>
    </row>
    <row r="47" spans="27:28" x14ac:dyDescent="0.25">
      <c r="AA47" s="1">
        <v>43</v>
      </c>
      <c r="AB47" s="1">
        <v>1992</v>
      </c>
    </row>
    <row r="48" spans="27:28" x14ac:dyDescent="0.25">
      <c r="AA48" s="1">
        <v>44</v>
      </c>
      <c r="AB48" s="1">
        <v>1993</v>
      </c>
    </row>
    <row r="49" spans="27:28" x14ac:dyDescent="0.25">
      <c r="AA49" s="1">
        <v>45</v>
      </c>
      <c r="AB49" s="1">
        <v>1994</v>
      </c>
    </row>
    <row r="50" spans="27:28" x14ac:dyDescent="0.25">
      <c r="AA50" s="1">
        <v>46</v>
      </c>
      <c r="AB50" s="1">
        <v>1995</v>
      </c>
    </row>
    <row r="51" spans="27:28" x14ac:dyDescent="0.25">
      <c r="AA51" s="1">
        <v>47</v>
      </c>
      <c r="AB51" s="1">
        <v>1996</v>
      </c>
    </row>
    <row r="52" spans="27:28" x14ac:dyDescent="0.25">
      <c r="AA52" s="1">
        <v>48</v>
      </c>
      <c r="AB52" s="1">
        <v>1997</v>
      </c>
    </row>
    <row r="53" spans="27:28" x14ac:dyDescent="0.25">
      <c r="AA53" s="1">
        <v>49</v>
      </c>
      <c r="AB53" s="1">
        <v>1998</v>
      </c>
    </row>
    <row r="54" spans="27:28" x14ac:dyDescent="0.25">
      <c r="AA54" s="1">
        <v>50</v>
      </c>
      <c r="AB54" s="1">
        <v>1999</v>
      </c>
    </row>
    <row r="55" spans="27:28" x14ac:dyDescent="0.25">
      <c r="AA55" s="1">
        <v>51</v>
      </c>
      <c r="AB55" s="1">
        <v>2000</v>
      </c>
    </row>
    <row r="56" spans="27:28" x14ac:dyDescent="0.25">
      <c r="AA56" s="1">
        <v>52</v>
      </c>
      <c r="AB56" s="1">
        <v>2001</v>
      </c>
    </row>
    <row r="57" spans="27:28" x14ac:dyDescent="0.25">
      <c r="AA57" s="1">
        <v>53</v>
      </c>
      <c r="AB57" s="1">
        <v>2002</v>
      </c>
    </row>
    <row r="58" spans="27:28" x14ac:dyDescent="0.25">
      <c r="AA58" s="1">
        <v>54</v>
      </c>
      <c r="AB58" s="1">
        <v>2003</v>
      </c>
    </row>
    <row r="59" spans="27:28" x14ac:dyDescent="0.25">
      <c r="AA59" s="1">
        <v>55</v>
      </c>
      <c r="AB59" s="1">
        <v>2004</v>
      </c>
    </row>
    <row r="60" spans="27:28" x14ac:dyDescent="0.25">
      <c r="AA60" s="1">
        <v>56</v>
      </c>
      <c r="AB60" s="1">
        <v>2005</v>
      </c>
    </row>
    <row r="61" spans="27:28" x14ac:dyDescent="0.25">
      <c r="AA61" s="1">
        <v>57</v>
      </c>
      <c r="AB61" s="1">
        <v>2006</v>
      </c>
    </row>
    <row r="62" spans="27:28" x14ac:dyDescent="0.25">
      <c r="AA62" s="1">
        <v>58</v>
      </c>
      <c r="AB62" s="1">
        <v>2007</v>
      </c>
    </row>
    <row r="63" spans="27:28" x14ac:dyDescent="0.25">
      <c r="AA63" s="1">
        <v>59</v>
      </c>
      <c r="AB63" s="1">
        <v>2008</v>
      </c>
    </row>
    <row r="64" spans="27:28" x14ac:dyDescent="0.25">
      <c r="AA64" s="1">
        <v>60</v>
      </c>
      <c r="AB64" s="1">
        <v>2009</v>
      </c>
    </row>
    <row r="65" spans="27:28" x14ac:dyDescent="0.25">
      <c r="AA65" s="1">
        <v>61</v>
      </c>
      <c r="AB65" s="1">
        <v>2010</v>
      </c>
    </row>
    <row r="66" spans="27:28" x14ac:dyDescent="0.25">
      <c r="AA66" s="1">
        <v>62</v>
      </c>
      <c r="AB66" s="1">
        <v>2011</v>
      </c>
    </row>
    <row r="67" spans="27:28" x14ac:dyDescent="0.25">
      <c r="AA67" s="1">
        <v>63</v>
      </c>
      <c r="AB67" s="1">
        <v>2012</v>
      </c>
    </row>
    <row r="68" spans="27:28" x14ac:dyDescent="0.25">
      <c r="AA68" s="1">
        <v>64</v>
      </c>
      <c r="AB68" s="1">
        <v>2013</v>
      </c>
    </row>
    <row r="69" spans="27:28" x14ac:dyDescent="0.25">
      <c r="AA69" s="1">
        <v>65</v>
      </c>
      <c r="AB69" s="1">
        <v>2014</v>
      </c>
    </row>
    <row r="70" spans="27:28" x14ac:dyDescent="0.25">
      <c r="AA70" s="1">
        <v>66</v>
      </c>
      <c r="AB70" s="1">
        <v>2015</v>
      </c>
    </row>
    <row r="71" spans="27:28" x14ac:dyDescent="0.25">
      <c r="AA71" s="1">
        <v>67</v>
      </c>
      <c r="AB71" s="1">
        <v>2016</v>
      </c>
    </row>
    <row r="72" spans="27:28" x14ac:dyDescent="0.25">
      <c r="AA72" s="1">
        <v>68</v>
      </c>
      <c r="AB72" s="1">
        <v>2017</v>
      </c>
    </row>
    <row r="73" spans="27:28" x14ac:dyDescent="0.25">
      <c r="AA73" s="1">
        <v>69</v>
      </c>
      <c r="AB73" s="1">
        <v>2018</v>
      </c>
    </row>
    <row r="74" spans="27:28" x14ac:dyDescent="0.25">
      <c r="AA74" s="1">
        <v>70</v>
      </c>
      <c r="AB74" s="1">
        <v>2019</v>
      </c>
    </row>
    <row r="75" spans="27:28" x14ac:dyDescent="0.25">
      <c r="AA75" s="1">
        <v>71</v>
      </c>
      <c r="AB75" s="1">
        <v>2020</v>
      </c>
    </row>
    <row r="76" spans="27:28" x14ac:dyDescent="0.25">
      <c r="AA76" s="1">
        <v>72</v>
      </c>
      <c r="AB76" s="1">
        <v>2021</v>
      </c>
    </row>
  </sheetData>
  <sheetProtection selectLockedCells="1"/>
  <mergeCells count="7">
    <mergeCell ref="I3:J3"/>
    <mergeCell ref="U3:V3"/>
    <mergeCell ref="A1:B1"/>
    <mergeCell ref="L3:M3"/>
    <mergeCell ref="O3:P3"/>
    <mergeCell ref="S3:T3"/>
    <mergeCell ref="A2:G2"/>
  </mergeCells>
  <phoneticPr fontId="41" type="noConversion"/>
  <conditionalFormatting sqref="C1">
    <cfRule type="duplicateValues" dxfId="36" priority="3"/>
  </conditionalFormatting>
  <conditionalFormatting sqref="J3:J21">
    <cfRule type="duplicateValues" dxfId="32" priority="22"/>
  </conditionalFormatting>
  <dataValidations count="11">
    <dataValidation type="list" allowBlank="1" showInputMessage="1" showErrorMessage="1" sqref="E11" xr:uid="{00000000-0002-0000-0100-000000000000}">
      <formula1>$T$6:$T$8</formula1>
    </dataValidation>
    <dataValidation type="list" allowBlank="1" showInputMessage="1" showErrorMessage="1" sqref="G11" xr:uid="{00000000-0002-0000-0100-000001000000}">
      <formula1>$M$6:$M$20</formula1>
    </dataValidation>
    <dataValidation type="list" allowBlank="1" showInputMessage="1" showErrorMessage="1" sqref="C11" xr:uid="{00000000-0002-0000-0100-000002000000}">
      <formula1>$J$6:$J$21</formula1>
    </dataValidation>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3000000}">
      <formula1>AND(OR(LEFT(A5,1)="0",LEFT(A5,1)="1",LEFT(A5,1)="9"),LEFT(A5,2)&lt;&gt;"00",LEN(A5)=11)</formula1>
    </dataValidation>
    <dataValidation type="list" allowBlank="1" showInputMessage="1" showErrorMessage="1" sqref="D11" xr:uid="{00000000-0002-0000-0100-000004000000}">
      <formula1>$V$6:$V$7</formula1>
    </dataValidation>
    <dataValidation type="custom" allowBlank="1" showInputMessage="1" showErrorMessage="1" errorTitle="خطأ" error="رقم الهاتف غير صحيح_x000a_يجب كتابة نداء المحافظة ثم رقم الهاتف_x000a_" sqref="D5:E5" xr:uid="{00000000-0002-0000-0100-000006000000}">
      <formula1>AND(LEFT(D5,1)="0",AND(LEN(D5)&gt;8,LEN(D5)&lt;12))</formula1>
    </dataValidation>
    <dataValidation type="date" allowBlank="1" showInputMessage="1" showErrorMessage="1" promptTitle="يجب أن يكون التاريخ " prompt="يوم / شهر / سنة" sqref="A11" xr:uid="{00000000-0002-0000-0100-000007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8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9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A000000}"/>
    <dataValidation type="whole" allowBlank="1" showInputMessage="1" showErrorMessage="1" sqref="F11" xr:uid="{00000000-0002-0000-0100-00000B000000}">
      <formula1>1950</formula1>
      <formula2>2021</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4" id="{C9ACA561-13C8-43A4-8420-96171E9D6890}">
            <xm:f>'اختيار المقررات'!$F$2="مستنفذ"</xm:f>
            <x14:dxf>
              <font>
                <color rgb="FFFF0000"/>
              </font>
              <fill>
                <patternFill>
                  <bgColor rgb="FFFF0000"/>
                </patternFill>
              </fill>
            </x14:dxf>
          </x14:cfRule>
          <xm:sqref>A2</xm:sqref>
        </x14:conditionalFormatting>
        <x14:conditionalFormatting xmlns:xm="http://schemas.microsoft.com/office/excel/2006/main">
          <x14:cfRule type="expression" priority="20" id="{96ACED6E-203D-432F-91AB-984217317AB2}">
            <xm:f>'اختيار المقررات'!$F$2="مستنفذ"</xm:f>
            <x14:dxf>
              <font>
                <color theme="0"/>
              </font>
              <fill>
                <patternFill patternType="none">
                  <bgColor auto="1"/>
                </patternFill>
              </fill>
              <border>
                <left/>
                <right/>
                <top/>
                <bottom/>
                <vertical/>
                <horizontal/>
              </border>
            </x14:dxf>
          </x14:cfRule>
          <xm:sqref>A4:F8 A9:G11 C14:F15</xm:sqref>
        </x14:conditionalFormatting>
        <x14:conditionalFormatting xmlns:xm="http://schemas.microsoft.com/office/excel/2006/main">
          <x14:cfRule type="expression" priority="19" id="{0C9EFB9F-5AD1-490C-AD31-C8B27D92815C}">
            <xm:f>'اختيار المقررات'!$F$2="معاقب"</xm:f>
            <x14:dxf>
              <font>
                <color rgb="FFFF0000"/>
              </font>
              <fill>
                <patternFill>
                  <bgColor rgb="FFFF0000"/>
                </patternFill>
              </fill>
            </x14:dxf>
          </x14:cfRule>
          <xm:sqref>A2:G3</xm:sqref>
        </x14:conditionalFormatting>
        <x14:conditionalFormatting xmlns:xm="http://schemas.microsoft.com/office/excel/2006/main">
          <x14:cfRule type="expression" priority="18" id="{513FF9B1-9505-4FE5-B3D4-3398BA802CA9}">
            <xm:f>'اختيار المقررات'!$F$2="معاقب"</xm:f>
            <x14:dxf>
              <font>
                <color theme="0"/>
              </font>
              <fill>
                <patternFill>
                  <bgColor theme="0"/>
                </patternFill>
              </fill>
            </x14:dxf>
          </x14:cfRule>
          <xm:sqref>A4:G11</xm:sqref>
        </x14:conditionalFormatting>
        <x14:conditionalFormatting xmlns:xm="http://schemas.microsoft.com/office/excel/2006/main">
          <x14:cfRule type="expression" priority="1" id="{77B0F854-70AF-4BA7-BC4F-C338A03DAF75}">
            <xm:f>'اختيار المقررات'!$F$2="مستنفذ"</xm:f>
            <x14:dxf>
              <font>
                <color theme="0"/>
              </font>
              <fill>
                <patternFill patternType="none">
                  <bgColor auto="1"/>
                </patternFill>
              </fill>
              <border>
                <left/>
                <right/>
                <top/>
                <bottom/>
                <vertical/>
                <horizontal/>
              </border>
            </x14:dxf>
          </x14:cfRule>
          <xm:sqref>C6:C8</xm:sqref>
        </x14:conditionalFormatting>
        <x14:conditionalFormatting xmlns:xm="http://schemas.microsoft.com/office/excel/2006/main">
          <x14:cfRule type="expression" priority="21" id="{A23FFF88-6BBC-48F6-B996-9D9C5A2E1A98}">
            <xm:f>'اختيار المقررات'!$F$2="مستنفذ"</xm:f>
            <x14:dxf>
              <font>
                <color theme="0"/>
              </font>
              <fill>
                <patternFill patternType="none">
                  <bgColor auto="1"/>
                </patternFill>
              </fill>
              <border>
                <left/>
                <right/>
                <top/>
                <bottom/>
                <vertical/>
                <horizontal/>
              </border>
            </x14:dxf>
          </x14:cfRule>
          <xm:sqref>G4:G5</xm:sqref>
        </x14:conditionalFormatting>
        <x14:conditionalFormatting xmlns:xm="http://schemas.microsoft.com/office/excel/2006/main">
          <x14:cfRule type="expression" priority="2" id="{AAEF37DB-DDE2-45CE-BDB4-EAD44E204DC3}">
            <xm:f>'اختيار المقررات'!$F$2="مستنفذ"</xm:f>
            <x14:dxf>
              <font>
                <color theme="0"/>
              </font>
              <fill>
                <patternFill patternType="none">
                  <bgColor auto="1"/>
                </patternFill>
              </fill>
              <border>
                <left/>
                <right/>
                <top/>
                <bottom/>
                <vertical/>
                <horizontal/>
              </border>
            </x14:dxf>
          </x14:cfRule>
          <xm:sqref>G6:G8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BE60"/>
  <sheetViews>
    <sheetView showGridLines="0" rightToLeft="1" topLeftCell="D1" zoomScale="102" zoomScaleNormal="102" workbookViewId="0">
      <selection activeCell="L30" sqref="L30:Q30"/>
    </sheetView>
  </sheetViews>
  <sheetFormatPr defaultColWidth="4" defaultRowHeight="14.25" customHeight="1" x14ac:dyDescent="0.25"/>
  <cols>
    <col min="1" max="1" width="3.3984375" hidden="1" customWidth="1"/>
    <col min="2" max="2" width="4.69921875" hidden="1" customWidth="1"/>
    <col min="3" max="3" width="5" hidden="1" customWidth="1"/>
    <col min="4" max="4" width="4.69921875" bestFit="1" customWidth="1"/>
    <col min="8" max="8" width="10.09765625" customWidth="1"/>
    <col min="9" max="9" width="7.19921875" customWidth="1"/>
    <col min="10" max="10" width="8.69921875" customWidth="1"/>
    <col min="11" max="11" width="1.19921875" customWidth="1"/>
    <col min="12" max="12" width="4" hidden="1" customWidth="1"/>
    <col min="15" max="15" width="10.19921875" customWidth="1"/>
    <col min="17" max="17" width="5.69921875" customWidth="1"/>
    <col min="18" max="18" width="5.19921875" customWidth="1"/>
    <col min="19" max="20" width="4" hidden="1" customWidth="1"/>
    <col min="24" max="24" width="14.69921875" customWidth="1"/>
    <col min="26" max="26" width="6.19921875" customWidth="1"/>
    <col min="27" max="28" width="4" hidden="1" customWidth="1"/>
    <col min="32" max="32" width="12.19921875" customWidth="1"/>
    <col min="34" max="34" width="6.19921875" customWidth="1"/>
    <col min="39" max="39" width="5.8984375" bestFit="1" customWidth="1"/>
    <col min="40" max="40" width="4.09765625" bestFit="1" customWidth="1"/>
    <col min="48" max="48" width="4.09765625" style="49" bestFit="1" customWidth="1"/>
    <col min="49" max="49" width="4.19921875" style="49" bestFit="1" customWidth="1"/>
    <col min="50" max="50" width="4" style="51"/>
    <col min="51" max="51" width="4.09765625" style="49" bestFit="1" customWidth="1"/>
    <col min="52" max="52" width="5.8984375" style="49" bestFit="1" customWidth="1"/>
    <col min="53" max="55" width="4" style="49"/>
  </cols>
  <sheetData>
    <row r="1" spans="1:57" s="58" customFormat="1" ht="21" customHeight="1" thickBot="1" x14ac:dyDescent="0.3">
      <c r="B1" s="59"/>
      <c r="C1" s="111"/>
      <c r="D1" s="315" t="s">
        <v>2</v>
      </c>
      <c r="E1" s="315"/>
      <c r="F1" s="320">
        <f>'إدخال البيانات'!C1</f>
        <v>0</v>
      </c>
      <c r="G1" s="321"/>
      <c r="H1" s="321"/>
      <c r="I1" s="315" t="s">
        <v>3</v>
      </c>
      <c r="J1" s="315"/>
      <c r="K1" s="315"/>
      <c r="L1" s="96"/>
      <c r="M1" s="316">
        <f>'إدخال البيانات'!D1</f>
        <v>0</v>
      </c>
      <c r="N1" s="316"/>
      <c r="O1" s="316"/>
      <c r="P1" s="311" t="s">
        <v>4</v>
      </c>
      <c r="Q1" s="311"/>
      <c r="R1" s="318">
        <f>'إدخال البيانات'!A8</f>
        <v>0</v>
      </c>
      <c r="S1" s="318"/>
      <c r="T1" s="318"/>
      <c r="U1" s="318"/>
      <c r="V1" s="311" t="s">
        <v>5</v>
      </c>
      <c r="W1" s="311"/>
      <c r="X1" s="110">
        <f>'إدخال البيانات'!B8</f>
        <v>0</v>
      </c>
      <c r="Y1" s="311" t="s">
        <v>51</v>
      </c>
      <c r="Z1" s="311"/>
      <c r="AA1" s="311"/>
      <c r="AB1" s="97"/>
      <c r="AC1" s="312">
        <f>'إدخال البيانات'!A11</f>
        <v>0</v>
      </c>
      <c r="AD1" s="312"/>
      <c r="AE1" s="109" t="s">
        <v>6</v>
      </c>
      <c r="AF1" s="317">
        <f>'إدخال البيانات'!B11</f>
        <v>0</v>
      </c>
      <c r="AG1" s="317"/>
      <c r="AH1" s="317"/>
      <c r="AI1" s="310"/>
      <c r="AJ1" s="310"/>
      <c r="AK1"/>
      <c r="AL1" s="76"/>
      <c r="AM1" s="57"/>
      <c r="AP1" s="58" t="s">
        <v>72</v>
      </c>
      <c r="AV1" s="225"/>
      <c r="AW1" s="225"/>
      <c r="AX1" s="225"/>
      <c r="AY1" s="225"/>
      <c r="AZ1" s="225"/>
      <c r="BA1" s="225"/>
      <c r="BB1" s="225"/>
      <c r="BC1" s="225"/>
      <c r="BD1" s="225"/>
      <c r="BE1" s="225"/>
    </row>
    <row r="2" spans="1:57" s="59" customFormat="1" ht="21" customHeight="1" thickTop="1" x14ac:dyDescent="0.25">
      <c r="C2" s="111"/>
      <c r="D2" s="315" t="s">
        <v>9</v>
      </c>
      <c r="E2" s="315"/>
      <c r="F2" s="318">
        <f>'إدخال البيانات'!G5</f>
        <v>0</v>
      </c>
      <c r="G2" s="318"/>
      <c r="H2" s="318"/>
      <c r="I2" s="329"/>
      <c r="J2" s="329"/>
      <c r="K2" s="329"/>
      <c r="L2" s="106"/>
      <c r="M2" s="318"/>
      <c r="N2" s="318"/>
      <c r="O2" s="318"/>
      <c r="P2" s="311"/>
      <c r="Q2" s="311"/>
      <c r="R2" s="318"/>
      <c r="S2" s="318"/>
      <c r="T2" s="318"/>
      <c r="U2" s="318"/>
      <c r="V2" s="311"/>
      <c r="W2" s="311"/>
      <c r="X2" s="110"/>
      <c r="Y2" s="311"/>
      <c r="Z2" s="311"/>
      <c r="AA2" s="311"/>
      <c r="AB2" s="98"/>
      <c r="AC2" s="312"/>
      <c r="AD2" s="312"/>
      <c r="AE2" s="109"/>
      <c r="AF2" s="328"/>
      <c r="AG2" s="328"/>
      <c r="AH2" s="328"/>
      <c r="AI2" s="310"/>
      <c r="AJ2" s="310"/>
      <c r="AK2"/>
      <c r="AL2" s="76">
        <f>الإستمارة!AJ1</f>
        <v>0</v>
      </c>
      <c r="AP2" s="59" t="s">
        <v>73</v>
      </c>
      <c r="AV2" s="225"/>
      <c r="AW2" s="225"/>
      <c r="AX2" s="225"/>
      <c r="AY2" s="225"/>
      <c r="AZ2" s="225"/>
      <c r="BA2" s="225"/>
      <c r="BB2" s="225"/>
      <c r="BC2" s="225"/>
      <c r="BD2" s="225"/>
      <c r="BE2" s="225"/>
    </row>
    <row r="3" spans="1:57" s="59" customFormat="1" ht="21" customHeight="1" x14ac:dyDescent="0.25">
      <c r="C3" s="315" t="s">
        <v>11</v>
      </c>
      <c r="D3" s="315"/>
      <c r="E3" s="315"/>
      <c r="F3" s="330">
        <f>'إدخال البيانات'!D11</f>
        <v>0</v>
      </c>
      <c r="G3" s="330"/>
      <c r="H3" s="330"/>
      <c r="I3" s="315" t="s">
        <v>10</v>
      </c>
      <c r="J3" s="315"/>
      <c r="K3" s="315"/>
      <c r="L3" s="99"/>
      <c r="M3" s="318">
        <f>'إدخال البيانات'!C11</f>
        <v>0</v>
      </c>
      <c r="N3" s="318"/>
      <c r="O3" s="318"/>
      <c r="P3" s="311" t="s">
        <v>52</v>
      </c>
      <c r="Q3" s="311"/>
      <c r="R3" s="325">
        <f>'إدخال البيانات'!A5</f>
        <v>0</v>
      </c>
      <c r="S3" s="318"/>
      <c r="T3" s="318"/>
      <c r="U3" s="318"/>
      <c r="V3" s="311" t="s">
        <v>16</v>
      </c>
      <c r="W3" s="311"/>
      <c r="X3" s="113" t="str">
        <f>IFERROR(IF(M3&lt;&gt;'إدخال البيانات'!J6,'إدخال البيانات'!M21,VLOOKUP(LEFT('إدخال البيانات'!A5,2),'إدخال البيانات'!L6:M21,2,0)),"")</f>
        <v>غير سوري</v>
      </c>
      <c r="Y3" s="311" t="s">
        <v>87</v>
      </c>
      <c r="Z3" s="311"/>
      <c r="AA3" s="311"/>
      <c r="AB3" s="100"/>
      <c r="AC3" s="319">
        <f>'إدخال البيانات'!C5</f>
        <v>0</v>
      </c>
      <c r="AD3" s="319"/>
      <c r="AE3" s="109" t="s">
        <v>66</v>
      </c>
      <c r="AF3" s="314">
        <f>'إدخال البيانات'!C8</f>
        <v>0</v>
      </c>
      <c r="AG3" s="314"/>
      <c r="AH3" s="314"/>
      <c r="AI3" s="313"/>
      <c r="AJ3" s="313"/>
      <c r="AK3"/>
      <c r="AL3" s="76"/>
      <c r="AM3" s="57"/>
      <c r="AP3" s="59" t="s">
        <v>45</v>
      </c>
      <c r="AV3" s="225"/>
      <c r="AW3" s="225"/>
      <c r="AX3" s="225"/>
      <c r="AY3" s="225"/>
      <c r="AZ3" s="225"/>
      <c r="BA3" s="225"/>
      <c r="BB3" s="225"/>
      <c r="BC3" s="225"/>
      <c r="BD3" s="225"/>
      <c r="BE3" s="225"/>
    </row>
    <row r="4" spans="1:57" s="59" customFormat="1" ht="21" customHeight="1" thickBot="1" x14ac:dyDescent="0.3">
      <c r="C4" s="111"/>
      <c r="D4" s="315" t="s">
        <v>12</v>
      </c>
      <c r="E4" s="315"/>
      <c r="F4" s="330">
        <f>'إدخال البيانات'!E11</f>
        <v>0</v>
      </c>
      <c r="G4" s="330"/>
      <c r="H4" s="330"/>
      <c r="I4" s="315" t="s">
        <v>13</v>
      </c>
      <c r="J4" s="315"/>
      <c r="K4" s="315"/>
      <c r="L4" s="101"/>
      <c r="M4" s="318">
        <f>'إدخال البيانات'!F11</f>
        <v>0</v>
      </c>
      <c r="N4" s="318"/>
      <c r="O4" s="318"/>
      <c r="P4" s="311" t="s">
        <v>14</v>
      </c>
      <c r="Q4" s="311"/>
      <c r="R4" s="318">
        <f>'إدخال البيانات'!G11</f>
        <v>0</v>
      </c>
      <c r="S4" s="318"/>
      <c r="T4" s="318"/>
      <c r="U4" s="318"/>
      <c r="V4" s="311" t="s">
        <v>64</v>
      </c>
      <c r="W4" s="311"/>
      <c r="X4" s="102">
        <f>'إدخال البيانات'!E5</f>
        <v>0</v>
      </c>
      <c r="Y4" s="311" t="s">
        <v>65</v>
      </c>
      <c r="Z4" s="311"/>
      <c r="AA4" s="311"/>
      <c r="AB4" s="100"/>
      <c r="AC4" s="325">
        <f>'إدخال البيانات'!D5</f>
        <v>0</v>
      </c>
      <c r="AD4" s="325"/>
      <c r="AE4" s="109" t="s">
        <v>55</v>
      </c>
      <c r="AF4" s="314">
        <f>'إدخال البيانات'!F5</f>
        <v>0</v>
      </c>
      <c r="AG4" s="314"/>
      <c r="AH4" s="314"/>
      <c r="AI4" s="314"/>
      <c r="AJ4" s="314"/>
      <c r="AK4"/>
      <c r="AL4" s="76"/>
      <c r="AN4" s="58"/>
      <c r="AP4" s="54" t="s">
        <v>57</v>
      </c>
      <c r="AV4" s="225"/>
      <c r="AW4" s="225"/>
      <c r="AX4" s="225"/>
      <c r="AY4" s="225"/>
      <c r="AZ4" s="225"/>
      <c r="BA4" s="225"/>
      <c r="BB4" s="225"/>
      <c r="BC4" s="225"/>
      <c r="BD4" s="225" t="s">
        <v>88</v>
      </c>
      <c r="BE4" s="225"/>
    </row>
    <row r="5" spans="1:57" s="59" customFormat="1" ht="21" customHeight="1" thickTop="1" thickBot="1" x14ac:dyDescent="0.3">
      <c r="C5" s="100"/>
      <c r="D5" s="327" t="s">
        <v>71</v>
      </c>
      <c r="E5" s="327"/>
      <c r="F5" s="327"/>
      <c r="G5" s="349"/>
      <c r="H5" s="349"/>
      <c r="I5" s="349"/>
      <c r="J5" s="349"/>
      <c r="K5" s="349"/>
      <c r="L5" s="349"/>
      <c r="M5" s="349"/>
      <c r="N5" s="349"/>
      <c r="O5" s="349"/>
      <c r="P5" s="311" t="s">
        <v>181</v>
      </c>
      <c r="Q5" s="311"/>
      <c r="R5" s="318" t="e">
        <f>VLOOKUP($F$1,#REF!,15,0)</f>
        <v>#REF!</v>
      </c>
      <c r="S5" s="318"/>
      <c r="T5" s="318"/>
      <c r="U5" s="318"/>
      <c r="V5" s="311" t="s">
        <v>0</v>
      </c>
      <c r="W5" s="311"/>
      <c r="X5" s="103" t="e">
        <f>VLOOKUP($F$1,#REF!,16,0)</f>
        <v>#REF!</v>
      </c>
      <c r="Y5" s="311" t="s">
        <v>182</v>
      </c>
      <c r="Z5" s="311"/>
      <c r="AA5" s="311"/>
      <c r="AB5" s="100"/>
      <c r="AC5" s="326" t="e">
        <f>IF(VLOOKUP($F$1,#REF!,17,0)=" ",0,VLOOKUP($F$1,#REF!,17,0))</f>
        <v>#REF!</v>
      </c>
      <c r="AD5" s="326"/>
      <c r="AE5" s="104"/>
      <c r="AF5" s="105"/>
      <c r="AG5" s="105"/>
      <c r="AH5" s="105"/>
      <c r="AI5" s="104"/>
      <c r="AJ5" s="104"/>
      <c r="AK5"/>
      <c r="AL5" s="76"/>
      <c r="AM5" s="60"/>
      <c r="AP5" s="59" t="s">
        <v>141</v>
      </c>
      <c r="AV5" s="225">
        <v>1</v>
      </c>
      <c r="AW5" s="226">
        <f t="shared" ref="AW5:AX9" si="0">D8</f>
        <v>111</v>
      </c>
      <c r="AX5" s="227" t="str">
        <f t="shared" si="0"/>
        <v>النحو على مستوى الجملة (عربي )</v>
      </c>
      <c r="AY5" s="228">
        <f t="shared" ref="AY5:AZ9" si="1">I8</f>
        <v>0</v>
      </c>
      <c r="AZ5" s="228">
        <f t="shared" si="1"/>
        <v>0</v>
      </c>
      <c r="BA5" s="227"/>
      <c r="BB5" s="227"/>
      <c r="BC5" s="225"/>
      <c r="BD5" s="225" t="s">
        <v>89</v>
      </c>
      <c r="BE5" s="225"/>
    </row>
    <row r="6" spans="1:57" ht="43.5" customHeight="1" thickBot="1" x14ac:dyDescent="0.3">
      <c r="C6" s="343" t="str">
        <f>IF(F2="مستنفذ","استنفذت فرص التسجيل في برنامج الترجمة بسبب رسوبك لمدة ثلاث سنوات متتالية","مقررات السنة الأولى")</f>
        <v>مقررات السنة الأولى</v>
      </c>
      <c r="D6" s="344"/>
      <c r="E6" s="344"/>
      <c r="F6" s="344"/>
      <c r="G6" s="344"/>
      <c r="H6" s="344"/>
      <c r="I6" s="344"/>
      <c r="J6" s="344"/>
      <c r="K6" s="344"/>
      <c r="L6" s="344"/>
      <c r="M6" s="344"/>
      <c r="N6" s="344"/>
      <c r="O6" s="344"/>
      <c r="P6" s="344"/>
      <c r="Q6" s="344"/>
      <c r="R6" s="345"/>
      <c r="S6" s="46"/>
      <c r="T6" s="114"/>
      <c r="U6" s="350" t="str">
        <f>IF(F1&lt;&gt;"","مقررات السنة الثالثة","لايحق لك تعديل الاستمارة بعد ارسال الايميل تحت طائلة إلغاء التسجيل")</f>
        <v>مقررات السنة الثالثة</v>
      </c>
      <c r="V6" s="351"/>
      <c r="W6" s="351"/>
      <c r="X6" s="351"/>
      <c r="Y6" s="351"/>
      <c r="Z6" s="351"/>
      <c r="AA6" s="351"/>
      <c r="AB6" s="351"/>
      <c r="AC6" s="351"/>
      <c r="AD6" s="351"/>
      <c r="AE6" s="351"/>
      <c r="AF6" s="351"/>
      <c r="AG6" s="351"/>
      <c r="AH6" s="351"/>
      <c r="AI6" s="73"/>
      <c r="AJ6" s="73"/>
      <c r="AK6" s="73"/>
      <c r="AL6" s="74"/>
      <c r="AM6" s="36"/>
      <c r="AP6" s="59" t="s">
        <v>142</v>
      </c>
      <c r="AV6" s="226">
        <v>2</v>
      </c>
      <c r="AW6" s="226">
        <f t="shared" si="0"/>
        <v>112</v>
      </c>
      <c r="AX6" s="227" t="str">
        <f t="shared" si="0"/>
        <v>القراءة والفهم ENG (1)</v>
      </c>
      <c r="AY6" s="228">
        <f t="shared" si="1"/>
        <v>0</v>
      </c>
      <c r="AZ6" s="228">
        <f t="shared" si="1"/>
        <v>0</v>
      </c>
      <c r="BA6" s="229"/>
      <c r="BB6" s="229"/>
      <c r="BC6" s="226"/>
      <c r="BD6" s="226"/>
      <c r="BE6" s="226"/>
    </row>
    <row r="7" spans="1:57" ht="23.25" customHeight="1" thickBot="1" x14ac:dyDescent="0.3">
      <c r="C7" s="346" t="s">
        <v>17</v>
      </c>
      <c r="D7" s="346"/>
      <c r="E7" s="346"/>
      <c r="F7" s="346"/>
      <c r="G7" s="346"/>
      <c r="H7" s="346"/>
      <c r="I7" s="346"/>
      <c r="J7" s="347"/>
      <c r="K7" s="79"/>
      <c r="L7" s="112"/>
      <c r="M7" s="348" t="s">
        <v>18</v>
      </c>
      <c r="N7" s="346"/>
      <c r="O7" s="346"/>
      <c r="P7" s="346"/>
      <c r="Q7" s="346"/>
      <c r="R7" s="347"/>
      <c r="S7" s="38"/>
      <c r="T7" s="27"/>
      <c r="U7" s="322" t="s">
        <v>19</v>
      </c>
      <c r="V7" s="323"/>
      <c r="W7" s="323"/>
      <c r="X7" s="323"/>
      <c r="Y7" s="323"/>
      <c r="Z7" s="324"/>
      <c r="AA7" s="77"/>
      <c r="AB7" s="28"/>
      <c r="AC7" s="322" t="s">
        <v>18</v>
      </c>
      <c r="AD7" s="323"/>
      <c r="AE7" s="323"/>
      <c r="AF7" s="323"/>
      <c r="AG7" s="323"/>
      <c r="AH7" s="324"/>
      <c r="AI7" s="73"/>
      <c r="AJ7" s="73"/>
      <c r="AK7" s="73"/>
      <c r="AL7" s="74"/>
      <c r="AM7" s="37"/>
      <c r="AP7" s="59" t="s">
        <v>74</v>
      </c>
      <c r="AV7" s="226">
        <v>3</v>
      </c>
      <c r="AW7" s="226">
        <f t="shared" si="0"/>
        <v>113</v>
      </c>
      <c r="AX7" s="227" t="str">
        <f t="shared" si="0"/>
        <v>النحو ENG (1)</v>
      </c>
      <c r="AY7" s="228">
        <f t="shared" si="1"/>
        <v>0</v>
      </c>
      <c r="AZ7" s="228">
        <f t="shared" si="1"/>
        <v>0</v>
      </c>
      <c r="BA7" s="229"/>
      <c r="BB7" s="229"/>
      <c r="BC7" s="226"/>
      <c r="BD7" s="226"/>
      <c r="BE7" s="226"/>
    </row>
    <row r="8" spans="1:57" ht="24" customHeight="1" thickBot="1" x14ac:dyDescent="0.35">
      <c r="A8" t="str">
        <f>IF(AND(J8&lt;&gt;"",I8=1),1,"")</f>
        <v/>
      </c>
      <c r="C8" s="107" t="b">
        <f>IF(AND(J8="A",I8=1),50000,IF(OR(J8="ج",J8="ر1",J8="ر2"),IF(I8=1,IF(OR($G$5=$AP$8,$G$5=$AP$9),0,IF(OR($G$5=$AP$1,$G$5=$AP$2,$G$5=$AP$5,$G$5=$AP$6),IF(J8="ج",20000,IF(J8="ر1",28000,IF(J8="ر2",36000,""))),IF(OR($G$5=$AP$3,$G$5=$AP$7),IF(J8="ج",12500,IF(J8="ر1",17500,IF(J8="ر2",22500,""))),IF($G$5=$AP$4,500,IF(J8="ج",25000,IF(J8="ر1",35000,IF(J8="ر2",45000,""))))))))))</f>
        <v>0</v>
      </c>
      <c r="D8" s="117">
        <v>111</v>
      </c>
      <c r="E8" s="342" t="s">
        <v>216</v>
      </c>
      <c r="F8" s="342"/>
      <c r="G8" s="342"/>
      <c r="H8" s="342"/>
      <c r="I8" s="239"/>
      <c r="J8" s="238"/>
      <c r="K8" s="78" t="str">
        <f>IF(AND(R8&lt;&gt;"",Q8=1),6,"")</f>
        <v/>
      </c>
      <c r="L8" s="107" t="b">
        <f>IF(AND(R8="A",Q8=1),50000,IF(OR(R8="ج",R8="ر1",R8="ر2"),IF(Q8=1,IF(OR($G$5=$AP$8,$G$5=$AP$9),0,IF(OR($G$5=$AP$1,$G$5=$AP$2,$G$5=$AP$5,$G$5=$AP$6),IF(R8="ج",20000,IF(R8="ر1",28000,IF(R8="ر2",36000,""))),IF(OR($G$5=$AP$3,$G$5=$AP$7),IF(R8="ج",12500,IF(R8="ر1",17500,IF(R8="ر2",22500,""))),IF($G$5=$AP$4,500,IF(R8="ج",25000,IF(R8="ر1",35000,IF(R8="ر2",45000,""))))))))))</f>
        <v>0</v>
      </c>
      <c r="M8" s="117">
        <v>121</v>
      </c>
      <c r="N8" s="342" t="s">
        <v>221</v>
      </c>
      <c r="O8" s="342"/>
      <c r="P8" s="342"/>
      <c r="Q8" s="239"/>
      <c r="R8" s="238"/>
      <c r="S8" s="53" t="str">
        <f>IF(AND(Z8&lt;&gt;"",Y8=1),21,"")</f>
        <v/>
      </c>
      <c r="T8" s="107" t="b">
        <f>IF(AND(Z8="A",Y8=1),50000,IF(OR(Z8="ج",Z8="ر1",Z8="ر2"),IF(Y8=1,IF(OR($G$5=$AP$8,$G$5=$AP$9),0,IF(OR($G$5=$AP$1,$G$5=$AP$2,$G$5=$AP$5,$G$5=$AP$6),IF(Z8="ج",20000,IF(Z8="ر1",28000,IF(Z8="ر2",36000,""))),IF(OR($G$5=$AP$3,$G$5=$AP$7),IF(Z8="ج",12500,IF(Z8="ر1",17500,IF(Z8="ر2",22500,""))),IF($G$5=$AP$4,500,IF(Z8="ج",25000,IF(Z8="ر1",35000,IF(Z8="ر2",45000,""))))))))))</f>
        <v>0</v>
      </c>
      <c r="U8" s="117">
        <v>311</v>
      </c>
      <c r="V8" s="334" t="s">
        <v>236</v>
      </c>
      <c r="W8" s="335"/>
      <c r="X8" s="336"/>
      <c r="Y8" s="239"/>
      <c r="Z8" s="238"/>
      <c r="AA8" s="80" t="str">
        <f>IF(AND(AH8&lt;&gt;"",AG8=1),26,"")</f>
        <v/>
      </c>
      <c r="AB8" s="107" t="b">
        <f>IF(AND(AH8="A",AG8=1),50000,IF(OR(AH8="ج",AH8="ر1",AH8="ر2"),IF(AG8=1,IF(OR($G$5=$AP$8,$G$5=$AP$9),0,IF(OR($G$5=$AP$1,$G$5=$AP$2,$G$5=$AP$5,$G$5=$AP$6),IF(AH8="ج",20000,IF(AH8="ر1",28000,IF(AH8="ر2",36000,""))),IF(OR($G$5=$AP$3,$G$5=$AP$7),IF(AH8="ج",12500,IF(AH8="ر1",17500,IF(AH8="ر2",22500,""))),IF($G$5=$AP$4,500,IF(AH8="ج",25000,IF(AH8="ر1",35000,IF(AH8="ر2",45000,""))))))))))</f>
        <v>0</v>
      </c>
      <c r="AC8" s="117">
        <v>321</v>
      </c>
      <c r="AD8" s="334" t="s">
        <v>246</v>
      </c>
      <c r="AE8" s="335"/>
      <c r="AF8" s="336"/>
      <c r="AG8" s="239"/>
      <c r="AH8" s="238"/>
      <c r="AI8" s="75"/>
      <c r="AJ8" s="75"/>
      <c r="AK8" s="75"/>
      <c r="AL8" s="74"/>
      <c r="AM8" s="223" t="str">
        <f>IF(A8&lt;&gt;"",A8,"")</f>
        <v/>
      </c>
      <c r="AN8" s="224">
        <v>1</v>
      </c>
      <c r="AP8" s="59" t="s">
        <v>8</v>
      </c>
      <c r="AV8" s="226">
        <v>4</v>
      </c>
      <c r="AW8" s="226">
        <f t="shared" si="0"/>
        <v>114</v>
      </c>
      <c r="AX8" s="227" t="str">
        <f t="shared" si="0"/>
        <v>الترجمة الى العربية (1)</v>
      </c>
      <c r="AY8" s="228">
        <f t="shared" si="1"/>
        <v>0</v>
      </c>
      <c r="AZ8" s="228">
        <f t="shared" si="1"/>
        <v>0</v>
      </c>
      <c r="BA8" s="229"/>
      <c r="BB8" s="229"/>
      <c r="BC8" s="226"/>
      <c r="BD8" s="226"/>
      <c r="BE8" s="226"/>
    </row>
    <row r="9" spans="1:57" ht="24" customHeight="1" thickTop="1" thickBot="1" x14ac:dyDescent="0.3">
      <c r="A9" t="str">
        <f>IF(AND(J9&lt;&gt;"",I9=1),2,"")</f>
        <v/>
      </c>
      <c r="C9" s="107" t="b">
        <f t="shared" ref="C9:C12" si="2">IF(AND(J9="A",I9=1),50000,IF(OR(J9="ج",J9="ر1",J9="ر2"),IF(I9=1,IF(OR($G$5=$AP$8,$G$5=$AP$9),0,IF(OR($G$5=$AP$1,$G$5=$AP$2,$G$5=$AP$5,$G$5=$AP$6),IF(J9="ج",20000,IF(J9="ر1",28000,IF(J9="ر2",36000,""))),IF(OR($G$5=$AP$3,$G$5=$AP$7),IF(J9="ج",12500,IF(J9="ر1",17500,IF(J9="ر2",22500,""))),IF($G$5=$AP$4,500,IF(J9="ج",25000,IF(J9="ر1",35000,IF(J9="ر2",45000,""))))))))))</f>
        <v>0</v>
      </c>
      <c r="D9" s="118">
        <v>112</v>
      </c>
      <c r="E9" s="337" t="s">
        <v>217</v>
      </c>
      <c r="F9" s="337"/>
      <c r="G9" s="337"/>
      <c r="H9" s="337"/>
      <c r="I9" s="239"/>
      <c r="J9" s="238"/>
      <c r="K9" s="78" t="str">
        <f>IF(AND(R9&lt;&gt;"",Q9=1),7,"")</f>
        <v/>
      </c>
      <c r="L9" s="107" t="b">
        <f t="shared" ref="L9:L12" si="3">IF(AND(R9="A",Q9=1),50000,IF(OR(R9="ج",R9="ر1",R9="ر2"),IF(Q9=1,IF(OR($G$5=$AP$8,$G$5=$AP$9),0,IF(OR($G$5=$AP$1,$G$5=$AP$2,$G$5=$AP$5,$G$5=$AP$6),IF(R9="ج",20000,IF(R9="ر1",28000,IF(R9="ر2",36000,""))),IF(OR($G$5=$AP$3,$G$5=$AP$7),IF(R9="ج",12500,IF(R9="ر1",17500,IF(R9="ر2",22500,""))),IF($G$5=$AP$4,500,IF(R9="ج",25000,IF(R9="ر1",35000,IF(R9="ر2",45000,""))))))))))</f>
        <v>0</v>
      </c>
      <c r="M9" s="118">
        <v>122</v>
      </c>
      <c r="N9" s="337" t="s">
        <v>222</v>
      </c>
      <c r="O9" s="337"/>
      <c r="P9" s="337"/>
      <c r="Q9" s="239"/>
      <c r="R9" s="238"/>
      <c r="S9" s="53" t="str">
        <f>IF(AND(Z9&lt;&gt;"",Y9=1),22,"")</f>
        <v/>
      </c>
      <c r="T9" s="107" t="b">
        <f t="shared" ref="T9:T12" si="4">IF(AND(Z9="A",Y9=1),50000,IF(OR(Z9="ج",Z9="ر1",Z9="ر2"),IF(Y9=1,IF(OR($G$5=$AP$8,$G$5=$AP$9),0,IF(OR($G$5=$AP$1,$G$5=$AP$2,$G$5=$AP$5,$G$5=$AP$6),IF(Z9="ج",20000,IF(Z9="ر1",28000,IF(Z9="ر2",36000,""))),IF(OR($G$5=$AP$3,$G$5=$AP$7),IF(Z9="ج",12500,IF(Z9="ر1",17500,IF(Z9="ر2",22500,""))),IF($G$5=$AP$4,500,IF(Z9="ج",25000,IF(Z9="ر1",35000,IF(Z9="ر2",45000,""))))))))))</f>
        <v>0</v>
      </c>
      <c r="U9" s="118">
        <v>312</v>
      </c>
      <c r="V9" s="331" t="s">
        <v>237</v>
      </c>
      <c r="W9" s="332"/>
      <c r="X9" s="333"/>
      <c r="Y9" s="239"/>
      <c r="Z9" s="238"/>
      <c r="AA9" s="80" t="str">
        <f>IF(AND(AH9&lt;&gt;"",AG9=1),27,"")</f>
        <v/>
      </c>
      <c r="AB9" s="107" t="b">
        <f t="shared" ref="AB9:AB12" si="5">IF(AND(AH9="A",AG9=1),50000,IF(OR(AH9="ج",AH9="ر1",AH9="ر2"),IF(AG9=1,IF(OR($G$5=$AP$8,$G$5=$AP$9),0,IF(OR($G$5=$AP$1,$G$5=$AP$2,$G$5=$AP$5,$G$5=$AP$6),IF(AH9="ج",20000,IF(AH9="ر1",28000,IF(AH9="ر2",36000,""))),IF(OR($G$5=$AP$3,$G$5=$AP$7),IF(AH9="ج",12500,IF(AH9="ر1",17500,IF(AH9="ر2",22500,""))),IF($G$5=$AP$4,500,IF(AH9="ج",25000,IF(AH9="ر1",35000,IF(AH9="ر2",45000,""))))))))))</f>
        <v>0</v>
      </c>
      <c r="AC9" s="118">
        <v>322</v>
      </c>
      <c r="AD9" s="331" t="s">
        <v>247</v>
      </c>
      <c r="AE9" s="332"/>
      <c r="AF9" s="333"/>
      <c r="AG9" s="239"/>
      <c r="AH9" s="238"/>
      <c r="AI9" s="357"/>
      <c r="AJ9" s="358"/>
      <c r="AK9" s="358"/>
      <c r="AL9" s="74"/>
      <c r="AM9" s="223" t="str">
        <f>IF(A9&lt;&gt;"",A9,"")</f>
        <v/>
      </c>
      <c r="AN9" s="224">
        <v>2</v>
      </c>
      <c r="AP9" s="82" t="s">
        <v>15</v>
      </c>
      <c r="AV9" s="226">
        <v>5</v>
      </c>
      <c r="AW9" s="226">
        <f t="shared" si="0"/>
        <v>115</v>
      </c>
      <c r="AX9" s="227" t="str">
        <f t="shared" si="0"/>
        <v>مادة ثقافية (1)</v>
      </c>
      <c r="AY9" s="228">
        <f t="shared" si="1"/>
        <v>0</v>
      </c>
      <c r="AZ9" s="228">
        <f t="shared" si="1"/>
        <v>0</v>
      </c>
      <c r="BA9" s="229"/>
      <c r="BB9" s="229"/>
      <c r="BC9" s="226"/>
      <c r="BD9" s="226"/>
      <c r="BE9" s="226"/>
    </row>
    <row r="10" spans="1:57" ht="24" customHeight="1" thickTop="1" thickBot="1" x14ac:dyDescent="0.3">
      <c r="A10" t="str">
        <f>IF(AND(J10&lt;&gt;"",I10=1),3,"")</f>
        <v/>
      </c>
      <c r="C10" s="107" t="b">
        <f t="shared" si="2"/>
        <v>0</v>
      </c>
      <c r="D10" s="118">
        <v>113</v>
      </c>
      <c r="E10" s="337" t="s">
        <v>218</v>
      </c>
      <c r="F10" s="337"/>
      <c r="G10" s="337"/>
      <c r="H10" s="337"/>
      <c r="I10" s="239"/>
      <c r="J10" s="238"/>
      <c r="K10" s="78" t="str">
        <f>IF(AND(R10&lt;&gt;"",Q10=1),8,"")</f>
        <v/>
      </c>
      <c r="L10" s="107" t="b">
        <f t="shared" si="3"/>
        <v>0</v>
      </c>
      <c r="M10" s="118">
        <v>123</v>
      </c>
      <c r="N10" s="337" t="s">
        <v>223</v>
      </c>
      <c r="O10" s="337"/>
      <c r="P10" s="337"/>
      <c r="Q10" s="239"/>
      <c r="R10" s="238"/>
      <c r="S10" s="53" t="str">
        <f>IF(AND(Z10&lt;&gt;"",Y10=1),23,"")</f>
        <v/>
      </c>
      <c r="T10" s="107" t="b">
        <f t="shared" si="4"/>
        <v>0</v>
      </c>
      <c r="U10" s="118">
        <v>313</v>
      </c>
      <c r="V10" s="331" t="s">
        <v>238</v>
      </c>
      <c r="W10" s="332"/>
      <c r="X10" s="333"/>
      <c r="Y10" s="239"/>
      <c r="Z10" s="238"/>
      <c r="AA10" s="80" t="str">
        <f>IF(AND(AH10&lt;&gt;"",AG10=1),28,"")</f>
        <v/>
      </c>
      <c r="AB10" s="107" t="b">
        <f t="shared" si="5"/>
        <v>0</v>
      </c>
      <c r="AC10" s="118">
        <v>323</v>
      </c>
      <c r="AD10" s="331" t="s">
        <v>248</v>
      </c>
      <c r="AE10" s="332"/>
      <c r="AF10" s="333"/>
      <c r="AG10" s="239"/>
      <c r="AH10" s="238"/>
      <c r="AI10" s="359"/>
      <c r="AJ10" s="360"/>
      <c r="AK10" s="360"/>
      <c r="AL10" s="74"/>
      <c r="AM10" s="223" t="str">
        <f>IF(A10&lt;&gt;"",A10,"")</f>
        <v/>
      </c>
      <c r="AN10" s="224">
        <v>3</v>
      </c>
      <c r="AV10" s="226">
        <v>6</v>
      </c>
      <c r="AW10" s="226">
        <f t="shared" ref="AW10:AX14" si="6">M8</f>
        <v>121</v>
      </c>
      <c r="AX10" s="230" t="str">
        <f t="shared" si="6"/>
        <v>النحو على مستوى النص (عربي )</v>
      </c>
      <c r="AY10" s="228">
        <f t="shared" ref="AY10:AZ14" si="7">Q8</f>
        <v>0</v>
      </c>
      <c r="AZ10" s="228">
        <f t="shared" si="7"/>
        <v>0</v>
      </c>
      <c r="BA10" s="229"/>
      <c r="BB10" s="229"/>
      <c r="BC10" s="230"/>
      <c r="BD10" s="230"/>
      <c r="BE10" s="229"/>
    </row>
    <row r="11" spans="1:57" ht="24" customHeight="1" thickTop="1" thickBot="1" x14ac:dyDescent="0.3">
      <c r="A11" t="str">
        <f>IF(AND(J11&lt;&gt;"",I11=1),4,"")</f>
        <v/>
      </c>
      <c r="C11" s="107" t="b">
        <f t="shared" si="2"/>
        <v>0</v>
      </c>
      <c r="D11" s="118">
        <v>114</v>
      </c>
      <c r="E11" s="337" t="s">
        <v>219</v>
      </c>
      <c r="F11" s="337"/>
      <c r="G11" s="337"/>
      <c r="H11" s="337"/>
      <c r="I11" s="239"/>
      <c r="J11" s="238"/>
      <c r="K11" s="78" t="str">
        <f>IF(AND(R11&lt;&gt;"",Q11=1),9,"")</f>
        <v/>
      </c>
      <c r="L11" s="107" t="b">
        <f t="shared" si="3"/>
        <v>0</v>
      </c>
      <c r="M11" s="118">
        <v>124</v>
      </c>
      <c r="N11" s="337" t="s">
        <v>224</v>
      </c>
      <c r="O11" s="337"/>
      <c r="P11" s="337"/>
      <c r="Q11" s="239"/>
      <c r="R11" s="238"/>
      <c r="S11" s="53" t="str">
        <f>IF(AND(Z11&lt;&gt;"",Y11=1),24,"")</f>
        <v/>
      </c>
      <c r="T11" s="107" t="b">
        <f t="shared" si="4"/>
        <v>0</v>
      </c>
      <c r="U11" s="118">
        <v>314</v>
      </c>
      <c r="V11" s="331" t="s">
        <v>239</v>
      </c>
      <c r="W11" s="332"/>
      <c r="X11" s="333"/>
      <c r="Y11" s="239"/>
      <c r="Z11" s="238"/>
      <c r="AA11" s="80" t="str">
        <f>IF(AND(AH11&lt;&gt;"",AG11=1),29,"")</f>
        <v/>
      </c>
      <c r="AB11" s="107" t="b">
        <f t="shared" si="5"/>
        <v>0</v>
      </c>
      <c r="AC11" s="118">
        <v>324</v>
      </c>
      <c r="AD11" s="331" t="s">
        <v>249</v>
      </c>
      <c r="AE11" s="332"/>
      <c r="AF11" s="333"/>
      <c r="AG11" s="239"/>
      <c r="AH11" s="238"/>
      <c r="AI11" s="359"/>
      <c r="AJ11" s="360"/>
      <c r="AK11" s="360"/>
      <c r="AL11" s="74"/>
      <c r="AM11" s="223" t="str">
        <f>IF(A11&lt;&gt;"",A11,"")</f>
        <v/>
      </c>
      <c r="AN11" s="224">
        <v>4</v>
      </c>
      <c r="AV11" s="226">
        <v>7</v>
      </c>
      <c r="AW11" s="226">
        <f t="shared" si="6"/>
        <v>122</v>
      </c>
      <c r="AX11" s="230" t="str">
        <f t="shared" si="6"/>
        <v>النحو ENG (2)</v>
      </c>
      <c r="AY11" s="228">
        <f t="shared" si="7"/>
        <v>0</v>
      </c>
      <c r="AZ11" s="228">
        <f t="shared" si="7"/>
        <v>0</v>
      </c>
      <c r="BA11" s="229"/>
      <c r="BB11" s="229"/>
      <c r="BC11" s="226"/>
      <c r="BD11" s="226"/>
      <c r="BE11" s="229"/>
    </row>
    <row r="12" spans="1:57" ht="22.2" thickTop="1" thickBot="1" x14ac:dyDescent="0.3">
      <c r="A12" t="str">
        <f>IF(AND(J12&lt;&gt;"",I12=1),5,"")</f>
        <v/>
      </c>
      <c r="C12" s="107" t="b">
        <f t="shared" si="2"/>
        <v>0</v>
      </c>
      <c r="D12" s="119">
        <v>115</v>
      </c>
      <c r="E12" s="352" t="s">
        <v>220</v>
      </c>
      <c r="F12" s="352"/>
      <c r="G12" s="352"/>
      <c r="H12" s="352"/>
      <c r="I12" s="239"/>
      <c r="J12" s="238"/>
      <c r="K12" s="78" t="str">
        <f>IF(AND(R12&lt;&gt;"",Q12=1),10,"")</f>
        <v/>
      </c>
      <c r="L12" s="107" t="b">
        <f t="shared" si="3"/>
        <v>0</v>
      </c>
      <c r="M12" s="119">
        <v>125</v>
      </c>
      <c r="N12" s="352" t="s">
        <v>225</v>
      </c>
      <c r="O12" s="352"/>
      <c r="P12" s="352"/>
      <c r="Q12" s="239"/>
      <c r="R12" s="238"/>
      <c r="S12" s="53" t="str">
        <f>IF(AND(Z12&lt;&gt;"",Y12=1),25,"")</f>
        <v/>
      </c>
      <c r="T12" s="107" t="b">
        <f t="shared" si="4"/>
        <v>0</v>
      </c>
      <c r="U12" s="119">
        <v>315</v>
      </c>
      <c r="V12" s="339" t="s">
        <v>240</v>
      </c>
      <c r="W12" s="340"/>
      <c r="X12" s="341"/>
      <c r="Y12" s="239"/>
      <c r="Z12" s="238"/>
      <c r="AA12" s="80" t="str">
        <f>IF(AND(AH12&lt;&gt;"",AG12=1),30,"")</f>
        <v/>
      </c>
      <c r="AB12" s="107" t="b">
        <f t="shared" si="5"/>
        <v>0</v>
      </c>
      <c r="AC12" s="119">
        <v>325</v>
      </c>
      <c r="AD12" s="363" t="s">
        <v>250</v>
      </c>
      <c r="AE12" s="364"/>
      <c r="AF12" s="365"/>
      <c r="AG12" s="239"/>
      <c r="AH12" s="238"/>
      <c r="AI12" s="362"/>
      <c r="AJ12" s="362"/>
      <c r="AK12" s="362"/>
      <c r="AL12" s="74"/>
      <c r="AM12" s="223" t="str">
        <f>IF(A12&lt;&gt;"",A12,"")</f>
        <v/>
      </c>
      <c r="AN12" s="224">
        <v>5</v>
      </c>
      <c r="AV12" s="226">
        <v>8</v>
      </c>
      <c r="AW12" s="226">
        <f t="shared" si="6"/>
        <v>123</v>
      </c>
      <c r="AX12" s="230" t="str">
        <f t="shared" si="6"/>
        <v>القراءة والفهم ENG (2)</v>
      </c>
      <c r="AY12" s="228">
        <f t="shared" si="7"/>
        <v>0</v>
      </c>
      <c r="AZ12" s="228">
        <f t="shared" si="7"/>
        <v>0</v>
      </c>
      <c r="BA12" s="229"/>
      <c r="BB12" s="229"/>
      <c r="BC12" s="226"/>
      <c r="BD12" s="226"/>
      <c r="BE12" s="229"/>
    </row>
    <row r="13" spans="1:57" ht="16.2" hidden="1" thickBot="1" x14ac:dyDescent="0.3">
      <c r="C13" s="29">
        <f>SUM(C8:C12)</f>
        <v>0</v>
      </c>
      <c r="D13" s="61"/>
      <c r="E13" s="62"/>
      <c r="F13" s="62"/>
      <c r="G13" s="62">
        <f>COUNTIFS(J8:J12,"A",I8:I12,1)</f>
        <v>0</v>
      </c>
      <c r="H13" s="62">
        <f>COUNTIFS(J8:J12,$R$30,I8:I12,1)</f>
        <v>0</v>
      </c>
      <c r="I13" s="83">
        <f>COUNTIFS(J8:J12,$X$30,I8:I12,1)</f>
        <v>0</v>
      </c>
      <c r="J13" s="84">
        <f>COUNTIFS(J8:J12,$AF$30,I8:I12,1)</f>
        <v>0</v>
      </c>
      <c r="K13" s="52"/>
      <c r="L13" s="107">
        <f>L8+L9+L10+L11+L12</f>
        <v>0</v>
      </c>
      <c r="M13" s="63"/>
      <c r="N13" s="64"/>
      <c r="O13" s="62">
        <f>COUNTIFS(R8:R12,"A",Q8:Q12,1)</f>
        <v>0</v>
      </c>
      <c r="P13" s="62">
        <f>COUNTIFS(R8:R12,$R$30,Q8:Q12,1)</f>
        <v>0</v>
      </c>
      <c r="Q13" s="83">
        <f>COUNTIFS(R8:R12,$X$30,Q8:Q12,1)</f>
        <v>0</v>
      </c>
      <c r="R13" s="84">
        <f>COUNTIFS(R8:R12,$AF$30,Q8:Q12,1)</f>
        <v>0</v>
      </c>
      <c r="S13" s="53"/>
      <c r="T13" s="29">
        <f>SUM(T8:T12)</f>
        <v>0</v>
      </c>
      <c r="U13" s="31"/>
      <c r="V13" s="32"/>
      <c r="W13" s="62">
        <f>COUNTIFS(Z8:Z12,"A",Y8:Y12,1)</f>
        <v>0</v>
      </c>
      <c r="X13" s="62">
        <f>COUNTIFS(Z8:Z12,$R$30,Y8:Y12,1)</f>
        <v>0</v>
      </c>
      <c r="Y13" s="83">
        <f>COUNTIFS(Z8:Z12,$X$30,Y8:Y12,1)</f>
        <v>0</v>
      </c>
      <c r="Z13" s="84">
        <f>COUNTIFS(Z8:Z12,$AF$30,Y8:Y12,1)</f>
        <v>0</v>
      </c>
      <c r="AA13" s="33"/>
      <c r="AB13" s="34">
        <f>SUM(AB8:AB12)</f>
        <v>0</v>
      </c>
      <c r="AC13" s="32"/>
      <c r="AD13" s="32"/>
      <c r="AE13" s="62">
        <f>COUNTIFS(AH8:AH12,"A",AG8:AG12,1)</f>
        <v>0</v>
      </c>
      <c r="AF13" s="62">
        <f>COUNTIFS(AH8:AH12,$R$30,AG8:AG12,1)</f>
        <v>0</v>
      </c>
      <c r="AG13" s="83">
        <f>COUNTIFS(AH8:AH12,$X$30,AG8:AG12,1)</f>
        <v>0</v>
      </c>
      <c r="AH13" s="84">
        <f>COUNTIFS(AH8:AH12,$AF$30,AG8:AG12,1)</f>
        <v>0</v>
      </c>
      <c r="AI13" s="362"/>
      <c r="AJ13" s="362"/>
      <c r="AK13" s="362"/>
      <c r="AL13" s="74"/>
      <c r="AM13" s="223" t="str">
        <f>IF(K8&lt;&gt;"",K8,"")</f>
        <v/>
      </c>
      <c r="AN13" s="224">
        <v>6</v>
      </c>
      <c r="AV13" s="226">
        <v>9</v>
      </c>
      <c r="AW13" s="226">
        <f t="shared" si="6"/>
        <v>124</v>
      </c>
      <c r="AX13" s="230" t="str">
        <f t="shared" si="6"/>
        <v>الترجمة الى العربية (2)</v>
      </c>
      <c r="AY13" s="228">
        <f t="shared" si="7"/>
        <v>0</v>
      </c>
      <c r="AZ13" s="228">
        <f t="shared" si="7"/>
        <v>0</v>
      </c>
      <c r="BA13" s="229"/>
      <c r="BB13" s="229"/>
      <c r="BC13" s="226"/>
      <c r="BD13" s="226"/>
      <c r="BE13" s="229"/>
    </row>
    <row r="14" spans="1:57" ht="21.6" thickBot="1" x14ac:dyDescent="0.3">
      <c r="C14" s="353" t="s">
        <v>21</v>
      </c>
      <c r="D14" s="353"/>
      <c r="E14" s="353"/>
      <c r="F14" s="353"/>
      <c r="G14" s="353"/>
      <c r="H14" s="353"/>
      <c r="I14" s="353"/>
      <c r="J14" s="353"/>
      <c r="K14" s="353"/>
      <c r="L14" s="353"/>
      <c r="M14" s="353"/>
      <c r="N14" s="353"/>
      <c r="O14" s="353"/>
      <c r="P14" s="353"/>
      <c r="Q14" s="353"/>
      <c r="R14" s="354"/>
      <c r="S14" s="38"/>
      <c r="T14" s="361" t="s">
        <v>22</v>
      </c>
      <c r="U14" s="353"/>
      <c r="V14" s="353"/>
      <c r="W14" s="353"/>
      <c r="X14" s="353"/>
      <c r="Y14" s="353"/>
      <c r="Z14" s="353"/>
      <c r="AA14" s="353"/>
      <c r="AB14" s="353"/>
      <c r="AC14" s="353"/>
      <c r="AD14" s="353"/>
      <c r="AE14" s="353"/>
      <c r="AF14" s="353"/>
      <c r="AG14" s="353"/>
      <c r="AH14" s="353"/>
      <c r="AI14" s="362"/>
      <c r="AJ14" s="362"/>
      <c r="AK14" s="362"/>
      <c r="AL14" s="74"/>
      <c r="AM14" s="223" t="str">
        <f>IF(K9&lt;&gt;"",K9,"")</f>
        <v/>
      </c>
      <c r="AN14" s="224">
        <v>7</v>
      </c>
      <c r="AV14" s="226">
        <v>10</v>
      </c>
      <c r="AW14" s="226">
        <f t="shared" si="6"/>
        <v>125</v>
      </c>
      <c r="AX14" s="230" t="str">
        <f t="shared" si="6"/>
        <v>مادة ثقافية (2)</v>
      </c>
      <c r="AY14" s="228">
        <f t="shared" si="7"/>
        <v>0</v>
      </c>
      <c r="AZ14" s="228">
        <f t="shared" si="7"/>
        <v>0</v>
      </c>
      <c r="BA14" s="229"/>
      <c r="BB14" s="229"/>
      <c r="BC14" s="226"/>
      <c r="BD14" s="226"/>
      <c r="BE14" s="229"/>
    </row>
    <row r="15" spans="1:57" ht="24" customHeight="1" thickBot="1" x14ac:dyDescent="0.3">
      <c r="A15" t="str">
        <f>IF(AND(J15&lt;&gt;"",I15=1),11,"")</f>
        <v/>
      </c>
      <c r="C15" s="107" t="b">
        <f t="shared" ref="C15:C19" si="8">IF(AND(J15="A",I15=1),50000,IF(OR(J15="ج",J15="ر1",J15="ر2"),IF(I15=1,IF(OR($G$5=$AP$8,$G$5=$AP$9),0,IF(OR($G$5=$AP$1,$G$5=$AP$2,$G$5=$AP$5,$G$5=$AP$6),IF(J15="ج",20000,IF(J15="ر1",28000,IF(J15="ر2",36000,""))),IF(OR($G$5=$AP$3,$G$5=$AP$7),IF(J15="ج",12500,IF(J15="ر1",17500,IF(J15="ر2",22500,""))),IF($G$5=$AP$4,500,IF(J15="ج",25000,IF(J15="ر1",35000,IF(J15="ر2",45000,""))))))))))</f>
        <v>0</v>
      </c>
      <c r="D15" s="117">
        <v>211</v>
      </c>
      <c r="E15" s="334" t="s">
        <v>226</v>
      </c>
      <c r="F15" s="335"/>
      <c r="G15" s="335"/>
      <c r="H15" s="336"/>
      <c r="I15" s="239"/>
      <c r="J15" s="238"/>
      <c r="K15" s="78" t="str">
        <f>IF(AND(R15&lt;&gt;"",Q15=1),16,"")</f>
        <v/>
      </c>
      <c r="L15" s="107" t="b">
        <f t="shared" ref="L15:L19" si="9">IF(AND(R15="A",Q15=1),50000,IF(OR(R15="ج",R15="ر1",R15="ر2"),IF(Q15=1,IF(OR($G$5=$AP$8,$G$5=$AP$9),0,IF(OR($G$5=$AP$1,$G$5=$AP$2,$G$5=$AP$5,$G$5=$AP$6),IF(R15="ج",20000,IF(R15="ر1",28000,IF(R15="ر2",36000,""))),IF(OR($G$5=$AP$3,$G$5=$AP$7),IF(R15="ج",12500,IF(R15="ر1",17500,IF(R15="ر2",22500,""))),IF($G$5=$AP$4,500,IF(R15="ج",25000,IF(R15="ر1",35000,IF(R15="ر2",45000,""))))))))))</f>
        <v>0</v>
      </c>
      <c r="M15" s="117">
        <v>221</v>
      </c>
      <c r="N15" s="342" t="s">
        <v>231</v>
      </c>
      <c r="O15" s="342"/>
      <c r="P15" s="342"/>
      <c r="Q15" s="239"/>
      <c r="R15" s="238"/>
      <c r="S15" s="53" t="str">
        <f>IF(AND(Z15&lt;&gt;"",Y15=1),31,"")</f>
        <v/>
      </c>
      <c r="T15" s="107" t="b">
        <f t="shared" ref="T15:T19" si="10">IF(AND(Z15="A",Y15=1),50000,IF(OR(Z15="ج",Z15="ر1",Z15="ر2"),IF(Y15=1,IF(OR($G$5=$AP$8,$G$5=$AP$9),0,IF(OR($G$5=$AP$1,$G$5=$AP$2,$G$5=$AP$5,$G$5=$AP$6),IF(Z15="ج",20000,IF(Z15="ر1",28000,IF(Z15="ر2",36000,""))),IF(OR($G$5=$AP$3,$G$5=$AP$7),IF(Z15="ج",12500,IF(Z15="ر1",17500,IF(Z15="ر2",22500,""))),IF($G$5=$AP$4,500,IF(Z15="ج",25000,IF(Z15="ر1",35000,IF(Z15="ر2",45000,""))))))))))</f>
        <v>0</v>
      </c>
      <c r="U15" s="117">
        <v>411</v>
      </c>
      <c r="V15" s="342" t="s">
        <v>241</v>
      </c>
      <c r="W15" s="342"/>
      <c r="X15" s="342"/>
      <c r="Y15" s="239"/>
      <c r="Z15" s="238"/>
      <c r="AA15" s="80" t="str">
        <f>IF(AND(AH15&lt;&gt;"",AG15=1),36,"")</f>
        <v/>
      </c>
      <c r="AB15" s="107" t="b">
        <f t="shared" ref="AB15:AB19" si="11">IF(AND(AH15="A",AG15=1),50000,IF(OR(AH15="ج",AH15="ر1",AH15="ر2"),IF(AG15=1,IF(OR($G$5=$AP$8,$G$5=$AP$9),0,IF(OR($G$5=$AP$1,$G$5=$AP$2,$G$5=$AP$5,$G$5=$AP$6),IF(AH15="ج",20000,IF(AH15="ر1",28000,IF(AH15="ر2",36000,""))),IF(OR($G$5=$AP$3,$G$5=$AP$7),IF(AH15="ج",12500,IF(AH15="ر1",17500,IF(AH15="ر2",22500,""))),IF($G$5=$AP$4,500,IF(AH15="ج",25000,IF(AH15="ر1",35000,IF(AH15="ر2",45000,""))))))))))</f>
        <v>0</v>
      </c>
      <c r="AC15" s="117">
        <v>421</v>
      </c>
      <c r="AD15" s="334" t="s">
        <v>251</v>
      </c>
      <c r="AE15" s="335"/>
      <c r="AF15" s="336"/>
      <c r="AG15" s="239"/>
      <c r="AH15" s="238"/>
      <c r="AI15" s="362"/>
      <c r="AJ15" s="362"/>
      <c r="AK15" s="362"/>
      <c r="AL15" s="74"/>
      <c r="AM15" s="223" t="str">
        <f>IF(K10&lt;&gt;"",K10,"")</f>
        <v/>
      </c>
      <c r="AN15" s="224">
        <v>8</v>
      </c>
      <c r="AV15" s="226">
        <v>11</v>
      </c>
      <c r="AW15" s="226">
        <f t="shared" ref="AW15:AX19" si="12">D15</f>
        <v>211</v>
      </c>
      <c r="AX15" s="226" t="str">
        <f t="shared" si="12"/>
        <v>قراءة وتعبير (لغة عربية )(1)</v>
      </c>
      <c r="AY15" s="228">
        <f t="shared" ref="AY15:AZ19" si="13">I15</f>
        <v>0</v>
      </c>
      <c r="AZ15" s="228">
        <f t="shared" si="13"/>
        <v>0</v>
      </c>
      <c r="BA15" s="229"/>
      <c r="BB15" s="229"/>
      <c r="BC15" s="226"/>
      <c r="BD15" s="226"/>
      <c r="BE15" s="226"/>
    </row>
    <row r="16" spans="1:57" ht="24" customHeight="1" thickTop="1" thickBot="1" x14ac:dyDescent="0.3">
      <c r="A16" t="str">
        <f>IF(AND(J16&lt;&gt;"",I16=1),12,"")</f>
        <v/>
      </c>
      <c r="C16" s="107" t="b">
        <f t="shared" si="8"/>
        <v>0</v>
      </c>
      <c r="D16" s="118">
        <v>212</v>
      </c>
      <c r="E16" s="331" t="s">
        <v>227</v>
      </c>
      <c r="F16" s="332"/>
      <c r="G16" s="332"/>
      <c r="H16" s="333"/>
      <c r="I16" s="239"/>
      <c r="J16" s="238"/>
      <c r="K16" s="78" t="str">
        <f>IF(AND(R16&lt;&gt;"",Q16=1),17,"")</f>
        <v/>
      </c>
      <c r="L16" s="107" t="b">
        <f t="shared" si="9"/>
        <v>0</v>
      </c>
      <c r="M16" s="118">
        <v>222</v>
      </c>
      <c r="N16" s="337" t="s">
        <v>232</v>
      </c>
      <c r="O16" s="337"/>
      <c r="P16" s="337"/>
      <c r="Q16" s="239"/>
      <c r="R16" s="238"/>
      <c r="S16" s="53" t="str">
        <f>IF(AND(Z16&lt;&gt;"",Y16=1),32,"")</f>
        <v/>
      </c>
      <c r="T16" s="107" t="b">
        <f t="shared" si="10"/>
        <v>0</v>
      </c>
      <c r="U16" s="118">
        <v>412</v>
      </c>
      <c r="V16" s="337" t="s">
        <v>242</v>
      </c>
      <c r="W16" s="337"/>
      <c r="X16" s="337"/>
      <c r="Y16" s="239"/>
      <c r="Z16" s="238"/>
      <c r="AA16" s="80" t="str">
        <f>IF(AND(AH16&lt;&gt;"",AG16=1),37,"")</f>
        <v/>
      </c>
      <c r="AB16" s="107" t="b">
        <f t="shared" si="11"/>
        <v>0</v>
      </c>
      <c r="AC16" s="118">
        <v>422</v>
      </c>
      <c r="AD16" s="331" t="s">
        <v>252</v>
      </c>
      <c r="AE16" s="332"/>
      <c r="AF16" s="333"/>
      <c r="AG16" s="239"/>
      <c r="AH16" s="238"/>
      <c r="AI16" s="362"/>
      <c r="AJ16" s="362"/>
      <c r="AK16" s="362"/>
      <c r="AL16" s="74"/>
      <c r="AM16" s="223" t="str">
        <f>IF(K11&lt;&gt;"",K11,"")</f>
        <v/>
      </c>
      <c r="AN16" s="224">
        <v>9</v>
      </c>
      <c r="AV16" s="226">
        <v>12</v>
      </c>
      <c r="AW16" s="226">
        <f t="shared" si="12"/>
        <v>212</v>
      </c>
      <c r="AX16" s="226" t="str">
        <f t="shared" si="12"/>
        <v>القراءة والفهم ENG (3)</v>
      </c>
      <c r="AY16" s="228">
        <f t="shared" si="13"/>
        <v>0</v>
      </c>
      <c r="AZ16" s="228">
        <f t="shared" si="13"/>
        <v>0</v>
      </c>
      <c r="BA16" s="229"/>
      <c r="BB16" s="229"/>
      <c r="BC16" s="226"/>
      <c r="BD16" s="226"/>
      <c r="BE16" s="226"/>
    </row>
    <row r="17" spans="1:57" ht="24" customHeight="1" thickTop="1" thickBot="1" x14ac:dyDescent="0.3">
      <c r="A17" t="str">
        <f>IF(AND(J17&lt;&gt;"",I17=1),13,"")</f>
        <v/>
      </c>
      <c r="C17" s="107" t="b">
        <f t="shared" si="8"/>
        <v>0</v>
      </c>
      <c r="D17" s="118">
        <v>213</v>
      </c>
      <c r="E17" s="331" t="s">
        <v>228</v>
      </c>
      <c r="F17" s="332"/>
      <c r="G17" s="332"/>
      <c r="H17" s="333"/>
      <c r="I17" s="239"/>
      <c r="J17" s="238"/>
      <c r="K17" s="78" t="str">
        <f>IF(AND(R17&lt;&gt;"",Q17=1),18,"")</f>
        <v/>
      </c>
      <c r="L17" s="107" t="b">
        <f t="shared" si="9"/>
        <v>0</v>
      </c>
      <c r="M17" s="118">
        <v>223</v>
      </c>
      <c r="N17" s="337" t="s">
        <v>233</v>
      </c>
      <c r="O17" s="337"/>
      <c r="P17" s="337"/>
      <c r="Q17" s="239"/>
      <c r="R17" s="238"/>
      <c r="S17" s="53" t="str">
        <f>IF(AND(Z17&lt;&gt;"",Y17=1),33,"")</f>
        <v/>
      </c>
      <c r="T17" s="107" t="b">
        <f t="shared" si="10"/>
        <v>0</v>
      </c>
      <c r="U17" s="118">
        <v>413</v>
      </c>
      <c r="V17" s="337" t="s">
        <v>243</v>
      </c>
      <c r="W17" s="337"/>
      <c r="X17" s="337"/>
      <c r="Y17" s="239"/>
      <c r="Z17" s="238"/>
      <c r="AA17" s="80" t="str">
        <f>IF(AND(AH17&lt;&gt;"",AG17=1),38,"")</f>
        <v/>
      </c>
      <c r="AB17" s="107" t="b">
        <f t="shared" si="11"/>
        <v>0</v>
      </c>
      <c r="AC17" s="118">
        <v>423</v>
      </c>
      <c r="AD17" s="331" t="s">
        <v>253</v>
      </c>
      <c r="AE17" s="332"/>
      <c r="AF17" s="333"/>
      <c r="AG17" s="239"/>
      <c r="AH17" s="238"/>
      <c r="AI17" s="362"/>
      <c r="AJ17" s="362"/>
      <c r="AK17" s="362"/>
      <c r="AL17" s="74"/>
      <c r="AM17" s="223" t="str">
        <f>IF(K12&lt;&gt;"",K12,"")</f>
        <v/>
      </c>
      <c r="AN17" s="224">
        <v>10</v>
      </c>
      <c r="AV17" s="226">
        <v>13</v>
      </c>
      <c r="AW17" s="226">
        <f t="shared" si="12"/>
        <v>213</v>
      </c>
      <c r="AX17" s="226" t="str">
        <f t="shared" si="12"/>
        <v>مقال ENG</v>
      </c>
      <c r="AY17" s="228">
        <f t="shared" si="13"/>
        <v>0</v>
      </c>
      <c r="AZ17" s="228">
        <f t="shared" si="13"/>
        <v>0</v>
      </c>
      <c r="BA17" s="229"/>
      <c r="BB17" s="229"/>
      <c r="BC17" s="226"/>
      <c r="BD17" s="226"/>
      <c r="BE17" s="226"/>
    </row>
    <row r="18" spans="1:57" ht="24" customHeight="1" thickTop="1" thickBot="1" x14ac:dyDescent="0.3">
      <c r="A18" t="str">
        <f>IF(AND(J18&lt;&gt;"",I18=1),14,"")</f>
        <v/>
      </c>
      <c r="C18" s="107" t="b">
        <f t="shared" si="8"/>
        <v>0</v>
      </c>
      <c r="D18" s="118">
        <v>214</v>
      </c>
      <c r="E18" s="331" t="s">
        <v>229</v>
      </c>
      <c r="F18" s="332"/>
      <c r="G18" s="332"/>
      <c r="H18" s="333"/>
      <c r="I18" s="239"/>
      <c r="J18" s="238"/>
      <c r="K18" s="78" t="str">
        <f>IF(AND(R18&lt;&gt;"",Q18=1),19,"")</f>
        <v/>
      </c>
      <c r="L18" s="107" t="b">
        <f t="shared" si="9"/>
        <v>0</v>
      </c>
      <c r="M18" s="118">
        <v>224</v>
      </c>
      <c r="N18" s="337" t="s">
        <v>234</v>
      </c>
      <c r="O18" s="337"/>
      <c r="P18" s="337"/>
      <c r="Q18" s="239"/>
      <c r="R18" s="238"/>
      <c r="S18" s="53" t="str">
        <f>IF(AND(Z18&lt;&gt;"",Y18=1),34,"")</f>
        <v/>
      </c>
      <c r="T18" s="107" t="b">
        <f t="shared" si="10"/>
        <v>0</v>
      </c>
      <c r="U18" s="118">
        <v>414</v>
      </c>
      <c r="V18" s="337" t="s">
        <v>244</v>
      </c>
      <c r="W18" s="337"/>
      <c r="X18" s="337"/>
      <c r="Y18" s="239"/>
      <c r="Z18" s="238"/>
      <c r="AA18" s="80" t="str">
        <f>IF(AND(AH18&lt;&gt;"",AG18=1),39,"")</f>
        <v/>
      </c>
      <c r="AB18" s="107" t="b">
        <f t="shared" si="11"/>
        <v>0</v>
      </c>
      <c r="AC18" s="118">
        <v>424</v>
      </c>
      <c r="AD18" s="331" t="s">
        <v>254</v>
      </c>
      <c r="AE18" s="332"/>
      <c r="AF18" s="333"/>
      <c r="AG18" s="239"/>
      <c r="AH18" s="238"/>
      <c r="AI18" s="362"/>
      <c r="AJ18" s="362"/>
      <c r="AK18" s="362"/>
      <c r="AL18" s="74"/>
      <c r="AM18" s="223" t="str">
        <f>IF(A15&lt;&gt;"",A15,"")</f>
        <v/>
      </c>
      <c r="AN18" s="224">
        <v>11</v>
      </c>
      <c r="AV18" s="226">
        <v>14</v>
      </c>
      <c r="AW18" s="226">
        <f t="shared" si="12"/>
        <v>214</v>
      </c>
      <c r="AX18" s="226" t="str">
        <f t="shared" si="12"/>
        <v>الترجمة من والى العربية (1)</v>
      </c>
      <c r="AY18" s="228">
        <f t="shared" si="13"/>
        <v>0</v>
      </c>
      <c r="AZ18" s="228">
        <f t="shared" si="13"/>
        <v>0</v>
      </c>
      <c r="BA18" s="229"/>
      <c r="BB18" s="229"/>
      <c r="BC18" s="226"/>
      <c r="BD18" s="226"/>
      <c r="BE18" s="226"/>
    </row>
    <row r="19" spans="1:57" ht="22.2" thickTop="1" thickBot="1" x14ac:dyDescent="0.35">
      <c r="A19" t="str">
        <f>IF(AND(J19&lt;&gt;"",I19=1),15,"")</f>
        <v/>
      </c>
      <c r="C19" s="107" t="b">
        <f t="shared" si="8"/>
        <v>0</v>
      </c>
      <c r="D19" s="119">
        <v>215</v>
      </c>
      <c r="E19" s="339" t="s">
        <v>230</v>
      </c>
      <c r="F19" s="340"/>
      <c r="G19" s="340"/>
      <c r="H19" s="341"/>
      <c r="I19" s="239"/>
      <c r="J19" s="238"/>
      <c r="K19" s="78" t="str">
        <f>IF(AND(R19&lt;&gt;"",Q19=1),20,"")</f>
        <v/>
      </c>
      <c r="L19" s="107" t="b">
        <f t="shared" si="9"/>
        <v>0</v>
      </c>
      <c r="M19" s="119">
        <v>225</v>
      </c>
      <c r="N19" s="352" t="s">
        <v>235</v>
      </c>
      <c r="O19" s="352"/>
      <c r="P19" s="352"/>
      <c r="Q19" s="239"/>
      <c r="R19" s="238"/>
      <c r="S19" s="53" t="str">
        <f>IF(AND(Z19&lt;&gt;"",Y19=1),35,"")</f>
        <v/>
      </c>
      <c r="T19" s="107" t="b">
        <f t="shared" si="10"/>
        <v>0</v>
      </c>
      <c r="U19" s="119">
        <v>415</v>
      </c>
      <c r="V19" s="352" t="s">
        <v>245</v>
      </c>
      <c r="W19" s="352"/>
      <c r="X19" s="352"/>
      <c r="Y19" s="239"/>
      <c r="Z19" s="238"/>
      <c r="AA19" s="80" t="str">
        <f>IF(AND(AH19&lt;&gt;"",AG19=1),40,"")</f>
        <v/>
      </c>
      <c r="AB19" s="107" t="b">
        <f t="shared" si="11"/>
        <v>0</v>
      </c>
      <c r="AC19" s="119">
        <v>425</v>
      </c>
      <c r="AD19" s="339" t="s">
        <v>255</v>
      </c>
      <c r="AE19" s="340"/>
      <c r="AF19" s="341"/>
      <c r="AG19" s="239"/>
      <c r="AH19" s="238"/>
      <c r="AI19" s="75"/>
      <c r="AJ19" s="75"/>
      <c r="AK19" s="75"/>
      <c r="AL19" s="74"/>
      <c r="AM19" s="223" t="str">
        <f>IF(A16&lt;&gt;"",A16,"")</f>
        <v/>
      </c>
      <c r="AN19" s="224">
        <v>12</v>
      </c>
      <c r="AV19" s="226">
        <v>15</v>
      </c>
      <c r="AW19" s="226">
        <f t="shared" si="12"/>
        <v>215</v>
      </c>
      <c r="AX19" s="226" t="str">
        <f t="shared" si="12"/>
        <v xml:space="preserve">علم الترجمة  ENG </v>
      </c>
      <c r="AY19" s="228">
        <f t="shared" si="13"/>
        <v>0</v>
      </c>
      <c r="AZ19" s="228">
        <f t="shared" si="13"/>
        <v>0</v>
      </c>
      <c r="BA19" s="229"/>
      <c r="BB19" s="229"/>
      <c r="BC19" s="226"/>
      <c r="BD19" s="226"/>
      <c r="BE19" s="226"/>
    </row>
    <row r="20" spans="1:57" ht="16.2" hidden="1" thickBot="1" x14ac:dyDescent="0.35">
      <c r="C20" s="29">
        <f>SUM(C15:C19)</f>
        <v>0</v>
      </c>
      <c r="D20" s="47"/>
      <c r="E20" s="48"/>
      <c r="F20" s="48"/>
      <c r="G20" s="62">
        <f>COUNTIFS(J15:J19,"A",I15:I19,1)</f>
        <v>0</v>
      </c>
      <c r="H20" s="62">
        <f>COUNTIFS(J15:J19,$R$30,I15:I19,1)</f>
        <v>0</v>
      </c>
      <c r="I20" s="83">
        <f>COUNTIFS(J15:J19,$X$30,I15:I19,1)</f>
        <v>0</v>
      </c>
      <c r="J20" s="84">
        <f>COUNTIFS(J15:J19,$AF$30,I15:I19,1)</f>
        <v>0</v>
      </c>
      <c r="K20" s="40"/>
      <c r="L20" s="29">
        <f>SUM(L15:L19)</f>
        <v>0</v>
      </c>
      <c r="M20" s="47"/>
      <c r="N20" s="48"/>
      <c r="O20" s="62">
        <f>COUNTIFS(R15:R19,"A",Q15:Q19,1)</f>
        <v>0</v>
      </c>
      <c r="P20" s="62">
        <f>COUNTIFS(R15:R19,$R$30,Q15:Q19,1)</f>
        <v>0</v>
      </c>
      <c r="Q20" s="83">
        <f>COUNTIFS(R15:R19,$X$30,Q15:Q19,1)</f>
        <v>0</v>
      </c>
      <c r="R20" s="84">
        <f>COUNTIFS(R15:R19,$AF$30,Q15:Q19,1)</f>
        <v>0</v>
      </c>
      <c r="S20" s="53"/>
      <c r="T20" s="41">
        <f>SUM(T15:T19)</f>
        <v>0</v>
      </c>
      <c r="U20" s="39"/>
      <c r="V20" s="45"/>
      <c r="W20" s="62">
        <f>COUNTIFS(Z15:Z19,"A",Y15:Y19,1)</f>
        <v>0</v>
      </c>
      <c r="X20" s="62">
        <f>COUNTIFS(Z15:Z19,$R$30,Y15:Y19,1)</f>
        <v>0</v>
      </c>
      <c r="Y20" s="83">
        <f>COUNTIFS(Z15:Z19,$X$30,Y15:Y19,1)</f>
        <v>0</v>
      </c>
      <c r="Z20" s="84">
        <f>COUNTIFS(Z15:Z19,$AF$30,Y15:Y19,1)</f>
        <v>0</v>
      </c>
      <c r="AA20" s="42"/>
      <c r="AB20" s="41">
        <f>SUM(AB15:AB19)</f>
        <v>0</v>
      </c>
      <c r="AC20" s="45"/>
      <c r="AD20" s="45"/>
      <c r="AE20" s="62">
        <f>COUNTIFS(AH15:AH19,"A",AG15:AG19,1)</f>
        <v>0</v>
      </c>
      <c r="AF20" s="62">
        <f>COUNTIFS(AH15:AH19,$R$30,AG15:AG19,1)</f>
        <v>0</v>
      </c>
      <c r="AG20" s="83">
        <f>COUNTIFS(AH15:AH19,$X$30,AG15:AG19,1)</f>
        <v>0</v>
      </c>
      <c r="AH20" s="84">
        <f>COUNTIFS(AH15:AH19,$AF$30,AG15:AG19,1)</f>
        <v>0</v>
      </c>
      <c r="AI20" s="75"/>
      <c r="AJ20" s="75"/>
      <c r="AK20" s="75"/>
      <c r="AL20" s="74"/>
      <c r="AM20" s="223" t="str">
        <f>IF(A17&lt;&gt;"",A17,"")</f>
        <v/>
      </c>
      <c r="AN20" s="224">
        <v>13</v>
      </c>
      <c r="AV20" s="226">
        <v>16</v>
      </c>
      <c r="AW20" s="226">
        <f t="shared" ref="AW20:AX24" si="14">M15</f>
        <v>221</v>
      </c>
      <c r="AX20" s="226" t="str">
        <f t="shared" si="14"/>
        <v>قراءة وتعبير (لغة عربية )(2)</v>
      </c>
      <c r="AY20" s="228">
        <f t="shared" ref="AY20:AZ24" si="15">Q15</f>
        <v>0</v>
      </c>
      <c r="AZ20" s="228">
        <f t="shared" si="15"/>
        <v>0</v>
      </c>
      <c r="BA20" s="229"/>
      <c r="BB20" s="229"/>
      <c r="BC20" s="226"/>
      <c r="BD20" s="226"/>
      <c r="BE20" s="229"/>
    </row>
    <row r="21" spans="1:57" ht="16.2" hidden="1" thickBot="1" x14ac:dyDescent="0.35">
      <c r="U21" s="35">
        <f>C13+C20+L13+L20+T13+T20+AB13+AB20</f>
        <v>0</v>
      </c>
      <c r="AI21" s="75"/>
      <c r="AJ21" s="75"/>
      <c r="AK21" s="75"/>
      <c r="AL21" s="74"/>
      <c r="AM21" s="223" t="str">
        <f>IF(A18&lt;&gt;"",A18,"")</f>
        <v/>
      </c>
      <c r="AN21" s="224">
        <v>14</v>
      </c>
      <c r="AV21" s="226">
        <v>17</v>
      </c>
      <c r="AW21" s="226">
        <f t="shared" si="14"/>
        <v>222</v>
      </c>
      <c r="AX21" s="226" t="str">
        <f t="shared" si="14"/>
        <v>مقال وقراءة وفهم ENG</v>
      </c>
      <c r="AY21" s="228">
        <f t="shared" si="15"/>
        <v>0</v>
      </c>
      <c r="AZ21" s="228">
        <f t="shared" si="15"/>
        <v>0</v>
      </c>
      <c r="BA21" s="229"/>
      <c r="BB21" s="229"/>
      <c r="BC21" s="226"/>
      <c r="BD21" s="226"/>
      <c r="BE21" s="229"/>
    </row>
    <row r="22" spans="1:57" ht="16.2" hidden="1" thickBot="1" x14ac:dyDescent="0.35">
      <c r="S22" s="44"/>
      <c r="T22" s="41"/>
      <c r="V22" s="54"/>
      <c r="W22" s="54"/>
      <c r="X22" s="54"/>
      <c r="Y22" s="55"/>
      <c r="Z22" s="34"/>
      <c r="AA22" s="56"/>
      <c r="AB22" s="41"/>
      <c r="AC22" s="54"/>
      <c r="AD22" s="54"/>
      <c r="AE22" s="54"/>
      <c r="AF22" s="54"/>
      <c r="AG22" s="55"/>
      <c r="AH22" s="34"/>
      <c r="AI22" s="75"/>
      <c r="AJ22" s="75"/>
      <c r="AK22" s="75"/>
      <c r="AL22" s="74"/>
      <c r="AM22" s="223" t="str">
        <f>IF(A19&lt;&gt;"",A19,"")</f>
        <v/>
      </c>
      <c r="AN22" s="224">
        <v>15</v>
      </c>
      <c r="AV22" s="226">
        <v>18</v>
      </c>
      <c r="AW22" s="226">
        <f t="shared" si="14"/>
        <v>223</v>
      </c>
      <c r="AX22" s="226" t="str">
        <f t="shared" si="14"/>
        <v xml:space="preserve">علم الصوتيات </v>
      </c>
      <c r="AY22" s="228">
        <f t="shared" si="15"/>
        <v>0</v>
      </c>
      <c r="AZ22" s="228">
        <f t="shared" si="15"/>
        <v>0</v>
      </c>
      <c r="BA22" s="229"/>
      <c r="BB22" s="229"/>
      <c r="BC22" s="226"/>
      <c r="BD22" s="226"/>
      <c r="BE22" s="229"/>
    </row>
    <row r="23" spans="1:57" ht="16.2" hidden="1" thickBot="1" x14ac:dyDescent="0.35">
      <c r="C23" s="21"/>
      <c r="E23" s="21"/>
      <c r="F23" s="21"/>
      <c r="G23" s="21"/>
      <c r="H23" s="21"/>
      <c r="I23" s="21"/>
      <c r="J23" s="21"/>
      <c r="K23" s="21"/>
      <c r="L23" s="44"/>
      <c r="Q23" s="55"/>
      <c r="R23" s="34"/>
      <c r="S23" s="44"/>
      <c r="AI23" s="75"/>
      <c r="AJ23" s="75"/>
      <c r="AK23" s="75"/>
      <c r="AL23" s="74"/>
      <c r="AM23" s="223" t="str">
        <f>IF(K15&lt;&gt;"",K15,"")</f>
        <v/>
      </c>
      <c r="AN23" s="224">
        <v>16</v>
      </c>
      <c r="AV23" s="226">
        <v>19</v>
      </c>
      <c r="AW23" s="226">
        <f t="shared" si="14"/>
        <v>224</v>
      </c>
      <c r="AX23" s="226" t="str">
        <f t="shared" si="14"/>
        <v>الترجمة من والى العربية (2)</v>
      </c>
      <c r="AY23" s="228">
        <f t="shared" si="15"/>
        <v>0</v>
      </c>
      <c r="AZ23" s="228">
        <f t="shared" si="15"/>
        <v>0</v>
      </c>
      <c r="BA23" s="229"/>
      <c r="BB23" s="229"/>
      <c r="BC23" s="226"/>
      <c r="BD23" s="226"/>
      <c r="BE23" s="229"/>
    </row>
    <row r="24" spans="1:57" ht="16.2" thickBot="1" x14ac:dyDescent="0.3">
      <c r="R24">
        <f>COUNTIF(J8:J12,"A")</f>
        <v>0</v>
      </c>
      <c r="AI24" s="74"/>
      <c r="AJ24" s="74"/>
      <c r="AK24" s="74"/>
      <c r="AL24" s="74"/>
      <c r="AM24" s="223" t="str">
        <f>IF(K16&lt;&gt;"",K16,"")</f>
        <v/>
      </c>
      <c r="AN24" s="224">
        <v>17</v>
      </c>
      <c r="AV24" s="226">
        <v>20</v>
      </c>
      <c r="AW24" s="226">
        <f t="shared" si="14"/>
        <v>225</v>
      </c>
      <c r="AX24" s="226" t="str">
        <f t="shared" si="14"/>
        <v xml:space="preserve">معاجم </v>
      </c>
      <c r="AY24" s="228">
        <f t="shared" si="15"/>
        <v>0</v>
      </c>
      <c r="AZ24" s="228">
        <f t="shared" si="15"/>
        <v>0</v>
      </c>
      <c r="BA24" s="229"/>
      <c r="BB24" s="229"/>
      <c r="BC24" s="226"/>
      <c r="BD24" s="226"/>
      <c r="BE24" s="229"/>
    </row>
    <row r="25" spans="1:57" ht="24.75" customHeight="1" thickTop="1" thickBot="1" x14ac:dyDescent="0.35">
      <c r="C25" s="1"/>
      <c r="D25" s="338" t="str">
        <f>IF(F3="أنثى","منقطعة عن التسجيل في","منقطع عن التسجيل في")</f>
        <v>منقطع عن التسجيل في</v>
      </c>
      <c r="E25" s="338"/>
      <c r="F25" s="338"/>
      <c r="G25" s="338"/>
      <c r="H25" s="338"/>
      <c r="I25" s="338"/>
      <c r="J25" s="1"/>
      <c r="K25" s="1"/>
      <c r="L25" s="374" t="s">
        <v>75</v>
      </c>
      <c r="M25" s="375"/>
      <c r="N25" s="375"/>
      <c r="O25" s="355">
        <f>IF(O27&gt;0,37000,12000)</f>
        <v>12000</v>
      </c>
      <c r="P25" s="355"/>
      <c r="Q25" s="355"/>
      <c r="R25" s="355"/>
      <c r="S25" s="149"/>
      <c r="T25" s="393" t="s">
        <v>153</v>
      </c>
      <c r="U25" s="394"/>
      <c r="V25" s="395"/>
      <c r="W25" s="384" t="e">
        <f>AC5</f>
        <v>#REF!</v>
      </c>
      <c r="X25" s="385"/>
      <c r="Y25" s="386"/>
      <c r="Z25" s="405" t="s">
        <v>76</v>
      </c>
      <c r="AA25" s="405"/>
      <c r="AB25" s="405"/>
      <c r="AC25" s="405"/>
      <c r="AD25" s="405"/>
      <c r="AE25" s="403">
        <f>H13+H20+P13+P20+X13+X20+AF13+AF20</f>
        <v>0</v>
      </c>
      <c r="AF25" s="403"/>
      <c r="AG25" s="403"/>
      <c r="AI25" s="74"/>
      <c r="AJ25" s="74"/>
      <c r="AK25" s="74"/>
      <c r="AL25" s="74"/>
      <c r="AM25" s="223" t="str">
        <f>IF(K17&lt;&gt;"",K17,"")</f>
        <v/>
      </c>
      <c r="AN25" s="224">
        <v>18</v>
      </c>
      <c r="AV25" s="226">
        <v>21</v>
      </c>
      <c r="AW25" s="226">
        <f>U8</f>
        <v>311</v>
      </c>
      <c r="AX25" s="230" t="str">
        <f>V8</f>
        <v xml:space="preserve">تدريبات في الاستماع والمناقشة باللغة العربية </v>
      </c>
      <c r="AY25" s="228">
        <f>Y8</f>
        <v>0</v>
      </c>
      <c r="AZ25" s="228">
        <f>Z8</f>
        <v>0</v>
      </c>
      <c r="BA25" s="229"/>
      <c r="BB25" s="229"/>
      <c r="BC25" s="230"/>
      <c r="BD25" s="230"/>
      <c r="BE25" s="229"/>
    </row>
    <row r="26" spans="1:57" ht="23.25" customHeight="1" thickTop="1" thickBot="1" x14ac:dyDescent="0.35">
      <c r="C26" s="81" t="str">
        <f>IFERROR(SMALL($C$39:$C$49,'اختيار المقررات'!AN8),"")</f>
        <v/>
      </c>
      <c r="D26" s="338" t="str">
        <f>IFERROR(VLOOKUP(C26,C$50:D$59,2,0),"")</f>
        <v/>
      </c>
      <c r="E26" s="338"/>
      <c r="F26" s="338"/>
      <c r="G26" s="338"/>
      <c r="H26" s="338"/>
      <c r="I26" s="338"/>
      <c r="J26" s="1"/>
      <c r="K26" s="1"/>
      <c r="L26" s="374" t="s">
        <v>25</v>
      </c>
      <c r="M26" s="375"/>
      <c r="N26" s="375"/>
      <c r="O26" s="355">
        <f>IF(F2="الرابعة حديث",50000,0)</f>
        <v>0</v>
      </c>
      <c r="P26" s="355"/>
      <c r="Q26" s="355"/>
      <c r="R26" s="355"/>
      <c r="S26" s="149"/>
      <c r="T26" s="396"/>
      <c r="U26" s="397"/>
      <c r="V26" s="398"/>
      <c r="W26" s="387"/>
      <c r="X26" s="388"/>
      <c r="Y26" s="389"/>
      <c r="Z26" s="378" t="s">
        <v>77</v>
      </c>
      <c r="AA26" s="378"/>
      <c r="AB26" s="378"/>
      <c r="AC26" s="378"/>
      <c r="AD26" s="378"/>
      <c r="AE26" s="406">
        <f>I13+I20+Q13+Q20+Y13+Y20+AG13+AG20</f>
        <v>0</v>
      </c>
      <c r="AF26" s="403"/>
      <c r="AG26" s="407"/>
      <c r="AI26" s="74"/>
      <c r="AJ26" s="74"/>
      <c r="AK26" s="74"/>
      <c r="AL26" s="74"/>
      <c r="AM26" s="223" t="str">
        <f>IF(K18&lt;&gt;"",K18,"")</f>
        <v/>
      </c>
      <c r="AN26" s="224">
        <v>19</v>
      </c>
      <c r="AV26" s="226">
        <v>22</v>
      </c>
      <c r="AW26" s="226">
        <f>U9</f>
        <v>312</v>
      </c>
      <c r="AX26" s="230" t="str">
        <f>V9</f>
        <v>تدريبات في الاستماع والتعبير الشفوي ENG</v>
      </c>
      <c r="AY26" s="228">
        <f>Y9</f>
        <v>0</v>
      </c>
      <c r="AZ26" s="228">
        <f>Z9</f>
        <v>0</v>
      </c>
      <c r="BA26" s="229"/>
      <c r="BB26" s="229"/>
      <c r="BC26" s="230"/>
      <c r="BD26" s="230"/>
      <c r="BE26" s="229"/>
    </row>
    <row r="27" spans="1:57" ht="23.25" customHeight="1" thickTop="1" thickBot="1" x14ac:dyDescent="0.35">
      <c r="C27" s="81" t="str">
        <f>IFERROR(SMALL($C$39:$C$49,'اختيار المقررات'!AN9),"")</f>
        <v/>
      </c>
      <c r="D27" s="338" t="str">
        <f>IFERROR(VLOOKUP(C27,C$50:D$59,2,0),"")</f>
        <v/>
      </c>
      <c r="E27" s="338"/>
      <c r="F27" s="338"/>
      <c r="G27" s="338"/>
      <c r="H27" s="338"/>
      <c r="I27" s="338"/>
      <c r="J27" s="1"/>
      <c r="K27" s="1"/>
      <c r="L27" s="374" t="s">
        <v>138</v>
      </c>
      <c r="M27" s="375"/>
      <c r="N27" s="375"/>
      <c r="O27" s="355">
        <f>IF(S27=1,COUNT(C26:C31)*15000,IF(G5=AP4,COUNT(C26:C31)*15000,IF(OR(G5=AP1,G5=AP2,G5=AP6,G5=AP5),COUNT(C26:C31)*15000,IF(OR(G5=AP3,G5=AP7),COUNT(C26:C31)*15000,COUNT(C26:C31)*15000))))</f>
        <v>0</v>
      </c>
      <c r="P27" s="355"/>
      <c r="Q27" s="355"/>
      <c r="R27" s="355"/>
      <c r="S27" s="150">
        <f>IF(AND(Z28&lt;&gt;"",Z28&lt;&gt;"ضعف الرسوم"),1,0)</f>
        <v>1</v>
      </c>
      <c r="T27" s="399"/>
      <c r="U27" s="400"/>
      <c r="V27" s="401"/>
      <c r="W27" s="390"/>
      <c r="X27" s="391"/>
      <c r="Y27" s="392"/>
      <c r="Z27" s="378" t="str">
        <f>IF(S27=1,"عدد المقررات المسجلة","عدد المقررات المسجلة لأكثر من مرتين")</f>
        <v>عدد المقررات المسجلة</v>
      </c>
      <c r="AA27" s="378"/>
      <c r="AB27" s="378"/>
      <c r="AC27" s="378"/>
      <c r="AD27" s="378"/>
      <c r="AE27" s="406">
        <f>IF(S27=1,SUM(G13,O13,W13,AE13,AE20,W20,O20,G20),J13+J20+R13+R20+Z13+Z20+AH13+AH20)</f>
        <v>0</v>
      </c>
      <c r="AF27" s="403"/>
      <c r="AG27" s="407"/>
      <c r="AM27" s="223"/>
      <c r="AN27" s="224"/>
      <c r="AV27" s="226"/>
      <c r="AW27" s="226"/>
      <c r="AX27" s="230"/>
      <c r="AY27" s="228"/>
      <c r="AZ27" s="228"/>
      <c r="BA27" s="229"/>
      <c r="BB27" s="229"/>
      <c r="BC27" s="230"/>
      <c r="BD27" s="230"/>
      <c r="BE27" s="229"/>
    </row>
    <row r="28" spans="1:57" ht="19.5" customHeight="1" thickTop="1" thickBot="1" x14ac:dyDescent="0.35">
      <c r="C28" s="81" t="str">
        <f>IFERROR(SMALL($C$39:$C$49,'اختيار المقررات'!AN10),"")</f>
        <v/>
      </c>
      <c r="D28" s="338" t="str">
        <f>IFERROR(VLOOKUP(C28,C$50:D$59,2,0),"")</f>
        <v/>
      </c>
      <c r="E28" s="338"/>
      <c r="F28" s="338"/>
      <c r="G28" s="338"/>
      <c r="H28" s="338"/>
      <c r="I28" s="338"/>
      <c r="J28" s="1"/>
      <c r="K28" s="1"/>
      <c r="L28" s="374" t="s">
        <v>139</v>
      </c>
      <c r="M28" s="375"/>
      <c r="N28" s="375"/>
      <c r="O28" s="355">
        <f>IF(Z28="ضعف الرسوم",U21*2,U21)</f>
        <v>0</v>
      </c>
      <c r="P28" s="355"/>
      <c r="Q28" s="355"/>
      <c r="R28" s="355"/>
      <c r="S28" s="149"/>
      <c r="T28" s="356" t="s">
        <v>20</v>
      </c>
      <c r="U28" s="356"/>
      <c r="V28" s="356"/>
      <c r="W28" s="366" t="s">
        <v>88</v>
      </c>
      <c r="X28" s="367"/>
      <c r="Y28" s="368"/>
      <c r="Z28" s="369">
        <f>'إدخال البيانات'!F1</f>
        <v>0</v>
      </c>
      <c r="AA28" s="370"/>
      <c r="AB28" s="370"/>
      <c r="AC28" s="370"/>
      <c r="AD28" s="370"/>
      <c r="AE28" s="370"/>
      <c r="AF28" s="370"/>
      <c r="AG28" s="371"/>
      <c r="AM28" s="223" t="str">
        <f>IF(K19&lt;&gt;"",K19,"")</f>
        <v/>
      </c>
      <c r="AN28" s="224">
        <v>20</v>
      </c>
      <c r="AV28" s="226">
        <v>23</v>
      </c>
      <c r="AW28" s="226">
        <f t="shared" ref="AW28:AX30" si="16">U10</f>
        <v>313</v>
      </c>
      <c r="AX28" s="230" t="str">
        <f t="shared" si="16"/>
        <v xml:space="preserve">نصوص أدبية بالإنكليزية (1) </v>
      </c>
      <c r="AY28" s="228">
        <f t="shared" ref="AY28:AZ30" si="17">Y10</f>
        <v>0</v>
      </c>
      <c r="AZ28" s="228">
        <f t="shared" si="17"/>
        <v>0</v>
      </c>
      <c r="BA28" s="229"/>
      <c r="BB28" s="229"/>
      <c r="BC28" s="226"/>
      <c r="BD28" s="226"/>
      <c r="BE28" s="229"/>
    </row>
    <row r="29" spans="1:57" ht="23.25" customHeight="1" thickTop="1" thickBot="1" x14ac:dyDescent="0.35">
      <c r="C29" s="81" t="str">
        <f>IFERROR(SMALL($C$39:$C$49,'اختيار المقررات'!AN11),"")</f>
        <v/>
      </c>
      <c r="D29" s="338" t="str">
        <f>IFERROR(VLOOKUP(C29,C$50:D$59,2,0)," ")</f>
        <v xml:space="preserve"> </v>
      </c>
      <c r="E29" s="338"/>
      <c r="F29" s="338"/>
      <c r="G29" s="338"/>
      <c r="H29" s="338"/>
      <c r="I29" s="338"/>
      <c r="J29" s="1"/>
      <c r="K29" s="1"/>
      <c r="L29" s="374" t="s">
        <v>23</v>
      </c>
      <c r="M29" s="375"/>
      <c r="N29" s="375"/>
      <c r="O29" s="355">
        <f>O25+O28</f>
        <v>12000</v>
      </c>
      <c r="P29" s="355"/>
      <c r="Q29" s="355"/>
      <c r="R29" s="355"/>
      <c r="S29" s="149"/>
      <c r="T29" s="356" t="s">
        <v>24</v>
      </c>
      <c r="U29" s="356"/>
      <c r="V29" s="356"/>
      <c r="W29" s="379">
        <f>IF(O29&lt;10000,O29,IF(W28="نعم",(الإستمارة!T1+الإستمارة!T2)+O25+(O29-(الإستمارة!T1+الإستمارة!T2)-O25)/2,O29))</f>
        <v>12000</v>
      </c>
      <c r="X29" s="380"/>
      <c r="Y29" s="381"/>
      <c r="Z29" s="356" t="s">
        <v>26</v>
      </c>
      <c r="AA29" s="356"/>
      <c r="AB29" s="356"/>
      <c r="AC29" s="356"/>
      <c r="AD29" s="382">
        <f>O29-W29</f>
        <v>0</v>
      </c>
      <c r="AE29" s="355"/>
      <c r="AF29" s="355"/>
      <c r="AG29" s="383"/>
      <c r="AH29">
        <f>SUM(AE25:AG27)</f>
        <v>0</v>
      </c>
      <c r="AM29" s="223" t="str">
        <f>IF(S8&lt;&gt;"",S8,"")</f>
        <v/>
      </c>
      <c r="AN29" s="224">
        <v>21</v>
      </c>
      <c r="AV29" s="226">
        <v>24</v>
      </c>
      <c r="AW29" s="226">
        <f t="shared" si="16"/>
        <v>314</v>
      </c>
      <c r="AX29" s="230" t="str">
        <f t="shared" si="16"/>
        <v>ترجمة تتبعيه ومنظورة (1)</v>
      </c>
      <c r="AY29" s="228">
        <f t="shared" si="17"/>
        <v>0</v>
      </c>
      <c r="AZ29" s="228">
        <f t="shared" si="17"/>
        <v>0</v>
      </c>
      <c r="BA29" s="229"/>
      <c r="BB29" s="229"/>
      <c r="BC29" s="226"/>
      <c r="BD29" s="226"/>
      <c r="BE29" s="229"/>
    </row>
    <row r="30" spans="1:57" s="30" customFormat="1" ht="17.25" customHeight="1" thickTop="1" thickBot="1" x14ac:dyDescent="0.35">
      <c r="C30" s="81" t="str">
        <f>IFERROR(SMALL($C$39:$C$49,'اختيار المقررات'!AN12),"")</f>
        <v/>
      </c>
      <c r="D30" s="338" t="str">
        <f>IFERROR(VLOOKUP(C30,C$50:D$59,2,0),"")</f>
        <v/>
      </c>
      <c r="E30" s="338"/>
      <c r="F30" s="338"/>
      <c r="G30" s="338"/>
      <c r="H30" s="338"/>
      <c r="I30" s="338"/>
      <c r="J30" s="85"/>
      <c r="K30" s="85"/>
      <c r="L30" s="409" t="s">
        <v>80</v>
      </c>
      <c r="M30" s="409"/>
      <c r="N30" s="409"/>
      <c r="O30" s="409"/>
      <c r="P30" s="409"/>
      <c r="Q30" s="409"/>
      <c r="R30" s="410" t="s">
        <v>69</v>
      </c>
      <c r="S30" s="410"/>
      <c r="T30" s="410"/>
      <c r="U30" s="409" t="s">
        <v>81</v>
      </c>
      <c r="V30" s="409"/>
      <c r="W30" s="409"/>
      <c r="X30" s="409" t="s">
        <v>70</v>
      </c>
      <c r="Y30" s="409"/>
      <c r="Z30" s="409" t="s">
        <v>82</v>
      </c>
      <c r="AA30" s="409"/>
      <c r="AB30" s="409"/>
      <c r="AC30" s="409"/>
      <c r="AD30" s="409"/>
      <c r="AE30" s="409"/>
      <c r="AF30" s="86" t="s">
        <v>68</v>
      </c>
      <c r="AG30" s="86"/>
      <c r="AH30" s="85"/>
      <c r="AM30" s="223" t="str">
        <f>IF(S9&lt;&gt;"",S9,"")</f>
        <v/>
      </c>
      <c r="AN30" s="224">
        <v>22</v>
      </c>
      <c r="AV30" s="226">
        <v>25</v>
      </c>
      <c r="AW30" s="226">
        <f t="shared" si="16"/>
        <v>315</v>
      </c>
      <c r="AX30" s="230" t="str">
        <f t="shared" si="16"/>
        <v>نصوص ومصطلحات علمية باللغة الانكليزية</v>
      </c>
      <c r="AY30" s="228">
        <f t="shared" si="17"/>
        <v>0</v>
      </c>
      <c r="AZ30" s="228">
        <f t="shared" si="17"/>
        <v>0</v>
      </c>
      <c r="BA30" s="229"/>
      <c r="BB30" s="229"/>
      <c r="BC30" s="226"/>
      <c r="BD30" s="226"/>
      <c r="BE30" s="229"/>
    </row>
    <row r="31" spans="1:57" s="30" customFormat="1" ht="24.75" customHeight="1" thickTop="1" thickBot="1" x14ac:dyDescent="0.35">
      <c r="C31" s="81" t="str">
        <f>IFERROR(SMALL($C$39:$C$49,'اختيار المقررات'!AN13),"")</f>
        <v/>
      </c>
      <c r="D31" s="338" t="str">
        <f>IFERROR(VLOOKUP(C31,C$50:D$59,2,0),"")</f>
        <v/>
      </c>
      <c r="E31" s="338"/>
      <c r="F31" s="338"/>
      <c r="G31" s="338"/>
      <c r="H31" s="338"/>
      <c r="I31" s="338"/>
      <c r="J31" s="85"/>
      <c r="K31" s="85"/>
      <c r="L31" s="408" t="s">
        <v>140</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M31" s="223" t="str">
        <f>IF(S10&lt;&gt;"",S10,"")</f>
        <v/>
      </c>
      <c r="AN31" s="224">
        <v>23</v>
      </c>
      <c r="AV31" s="226">
        <v>26</v>
      </c>
      <c r="AW31" s="226">
        <f t="shared" ref="AW31:AX35" si="18">AC8</f>
        <v>321</v>
      </c>
      <c r="AX31" s="226" t="str">
        <f t="shared" si="18"/>
        <v>نصوص من الادب العربي المعاصر (1)</v>
      </c>
      <c r="AY31" s="228">
        <f t="shared" ref="AY31:AZ35" si="19">AG8</f>
        <v>0</v>
      </c>
      <c r="AZ31" s="228">
        <f t="shared" si="19"/>
        <v>0</v>
      </c>
      <c r="BA31" s="229"/>
      <c r="BB31" s="229"/>
      <c r="BC31" s="226"/>
      <c r="BD31" s="226"/>
      <c r="BE31" s="229"/>
    </row>
    <row r="32" spans="1:57" s="30" customFormat="1" ht="16.8" thickTop="1" thickBot="1" x14ac:dyDescent="0.35">
      <c r="C32" s="81" t="str">
        <f>IFERROR(SMALL($C$39:$C$49,'اختيار المقررات'!AN14),"")</f>
        <v/>
      </c>
      <c r="D32" s="338" t="str">
        <f>IFERROR(VLOOKUP(C32,C$50:D$59,2,0),"")</f>
        <v/>
      </c>
      <c r="E32" s="338"/>
      <c r="F32" s="338"/>
      <c r="G32" s="338"/>
      <c r="H32" s="338"/>
      <c r="I32" s="338"/>
      <c r="J32" s="3"/>
      <c r="K32" s="3"/>
      <c r="L32" s="3"/>
      <c r="M32" s="3"/>
      <c r="N32" s="3"/>
      <c r="O32" s="3"/>
      <c r="P32" s="3"/>
      <c r="Q32" s="3"/>
      <c r="R32" s="3"/>
      <c r="S32" s="3"/>
      <c r="T32" s="3"/>
      <c r="U32" s="3"/>
      <c r="V32" s="3"/>
      <c r="W32" s="3"/>
      <c r="X32" s="3"/>
      <c r="Y32" s="3"/>
      <c r="Z32" s="3"/>
      <c r="AA32" s="3"/>
      <c r="AB32" s="3"/>
      <c r="AC32" s="3"/>
      <c r="AD32" s="3"/>
      <c r="AE32" s="3"/>
      <c r="AF32" s="3"/>
      <c r="AG32" s="3"/>
      <c r="AH32" s="3"/>
      <c r="AM32" s="223" t="str">
        <f>IF(S11&lt;&gt;"",S11,"")</f>
        <v/>
      </c>
      <c r="AN32" s="224">
        <v>24</v>
      </c>
      <c r="AV32" s="226">
        <v>27</v>
      </c>
      <c r="AW32" s="226">
        <f t="shared" si="18"/>
        <v>322</v>
      </c>
      <c r="AX32" s="226" t="str">
        <f t="shared" si="18"/>
        <v xml:space="preserve">علم اللغة (التراكيب والدلالة )باللغة الانكليزية </v>
      </c>
      <c r="AY32" s="228">
        <f t="shared" si="19"/>
        <v>0</v>
      </c>
      <c r="AZ32" s="228">
        <f t="shared" si="19"/>
        <v>0</v>
      </c>
      <c r="BA32" s="229"/>
      <c r="BB32" s="229"/>
      <c r="BC32" s="230"/>
      <c r="BD32" s="230"/>
      <c r="BE32" s="229"/>
    </row>
    <row r="33" spans="3:57" s="30" customFormat="1" ht="17.25" customHeight="1" thickTop="1" thickBot="1" x14ac:dyDescent="0.35">
      <c r="C33" s="3" t="str">
        <f>IFERROR(SMALL($C$39:$C$49,'اختيار المقررات'!AN15),"")</f>
        <v/>
      </c>
      <c r="D33" s="338" t="str">
        <f>IFERROR(VLOOKUP(C33,C$50:D$59,2,0),"")</f>
        <v/>
      </c>
      <c r="E33" s="338"/>
      <c r="F33" s="338"/>
      <c r="G33" s="338"/>
      <c r="H33" s="338"/>
      <c r="I33" s="338"/>
      <c r="J33" s="3"/>
      <c r="K33" s="3"/>
      <c r="L33" s="3"/>
      <c r="M33" s="3"/>
      <c r="N33" s="3"/>
      <c r="O33" s="3"/>
      <c r="P33" s="3"/>
      <c r="Q33" s="3"/>
      <c r="R33" s="3"/>
      <c r="S33" s="3"/>
      <c r="T33" s="3"/>
      <c r="U33" s="3"/>
      <c r="V33" s="3"/>
      <c r="W33" s="3"/>
      <c r="X33" s="3"/>
      <c r="Y33" s="3"/>
      <c r="Z33" s="3"/>
      <c r="AA33" s="3"/>
      <c r="AB33" s="3"/>
      <c r="AC33" s="3"/>
      <c r="AD33" s="3"/>
      <c r="AE33" s="3"/>
      <c r="AF33" s="3"/>
      <c r="AG33" s="3"/>
      <c r="AH33" s="3"/>
      <c r="AM33" s="223" t="str">
        <f>IF(S12&lt;&gt;"",S12,"")</f>
        <v/>
      </c>
      <c r="AN33" s="224">
        <v>25</v>
      </c>
      <c r="AV33" s="226">
        <v>28</v>
      </c>
      <c r="AW33" s="226">
        <f t="shared" si="18"/>
        <v>323</v>
      </c>
      <c r="AX33" s="226" t="str">
        <f t="shared" si="18"/>
        <v>نصوص أدبية بالإنكليزية (2)</v>
      </c>
      <c r="AY33" s="228">
        <f t="shared" si="19"/>
        <v>0</v>
      </c>
      <c r="AZ33" s="228">
        <f t="shared" si="19"/>
        <v>0</v>
      </c>
      <c r="BA33" s="229"/>
      <c r="BB33" s="229"/>
      <c r="BC33" s="226"/>
      <c r="BD33" s="226"/>
      <c r="BE33" s="229"/>
    </row>
    <row r="34" spans="3:57" s="30" customFormat="1" ht="16.8" thickTop="1" thickBot="1" x14ac:dyDescent="0.35">
      <c r="C34" s="3" t="str">
        <f>IFERROR(SMALL($C$39:$C$49,'اختيار المقررات'!AN16),"")</f>
        <v/>
      </c>
      <c r="D34" s="338" t="str">
        <f>IFERROR(VLOOKUP(C39,C$50:D$59,2,0),"")</f>
        <v/>
      </c>
      <c r="E34" s="338"/>
      <c r="F34" s="338"/>
      <c r="G34" s="338"/>
      <c r="H34" s="338"/>
      <c r="I34" s="338"/>
      <c r="J34" s="21"/>
      <c r="K34" s="21"/>
      <c r="L34" s="21"/>
      <c r="M34" s="21"/>
      <c r="N34" s="21"/>
      <c r="O34" s="21"/>
      <c r="P34" s="21"/>
      <c r="Q34" s="21"/>
      <c r="R34" s="21"/>
      <c r="S34" s="3"/>
      <c r="T34" s="3"/>
      <c r="U34" s="3"/>
      <c r="V34" s="3"/>
      <c r="W34" s="3"/>
      <c r="X34" s="3"/>
      <c r="Y34" s="3"/>
      <c r="Z34" s="3"/>
      <c r="AA34" s="3"/>
      <c r="AB34" s="3"/>
      <c r="AC34" s="3"/>
      <c r="AD34" s="3"/>
      <c r="AE34" s="3"/>
      <c r="AF34" s="3"/>
      <c r="AG34" s="3"/>
      <c r="AH34" s="3"/>
      <c r="AM34" s="223" t="str">
        <f>IF(AA8&lt;&gt;"",AA8,"")</f>
        <v/>
      </c>
      <c r="AN34" s="224">
        <v>26</v>
      </c>
      <c r="AV34" s="226">
        <v>29</v>
      </c>
      <c r="AW34" s="226">
        <f t="shared" si="18"/>
        <v>324</v>
      </c>
      <c r="AX34" s="226" t="str">
        <f t="shared" si="18"/>
        <v>ترجمة تتبعيه ومنظورة (2)</v>
      </c>
      <c r="AY34" s="228">
        <f t="shared" si="19"/>
        <v>0</v>
      </c>
      <c r="AZ34" s="228">
        <f t="shared" si="19"/>
        <v>0</v>
      </c>
      <c r="BA34" s="229"/>
      <c r="BB34" s="229"/>
      <c r="BC34" s="226"/>
      <c r="BD34" s="226"/>
      <c r="BE34" s="229"/>
    </row>
    <row r="35" spans="3:57" s="30" customFormat="1" ht="16.8" thickTop="1" thickBot="1" x14ac:dyDescent="0.35">
      <c r="C35" s="3" t="str">
        <f>IFERROR(SMALL($C$39:$C$49,'اختيار المقررات'!AN17),"")</f>
        <v/>
      </c>
      <c r="D35" s="338" t="str">
        <f>IFERROR(VLOOKUP(C40,C$50:D$59,2,0),"")</f>
        <v/>
      </c>
      <c r="E35" s="338"/>
      <c r="F35" s="338"/>
      <c r="G35" s="338"/>
      <c r="H35" s="338"/>
      <c r="I35" s="338"/>
      <c r="J35" s="3"/>
      <c r="K35" s="22"/>
      <c r="L35" s="3"/>
      <c r="M35" s="4"/>
      <c r="N35" s="5"/>
      <c r="O35" s="5"/>
      <c r="P35" s="5"/>
      <c r="Q35" s="3"/>
      <c r="R35" s="3"/>
      <c r="S35" s="3"/>
      <c r="T35" s="3"/>
      <c r="U35" s="3"/>
      <c r="V35" s="3"/>
      <c r="W35" s="3"/>
      <c r="X35" s="3"/>
      <c r="Y35" s="3"/>
      <c r="Z35" s="3"/>
      <c r="AA35" s="3"/>
      <c r="AB35" s="3"/>
      <c r="AC35" s="3"/>
      <c r="AD35" s="3"/>
      <c r="AE35" s="3"/>
      <c r="AF35" s="3"/>
      <c r="AG35" s="3"/>
      <c r="AH35" s="3"/>
      <c r="AM35" s="223" t="str">
        <f>IF(AA9&lt;&gt;"",AA9,"")</f>
        <v/>
      </c>
      <c r="AN35" s="224">
        <v>27</v>
      </c>
      <c r="AV35" s="226">
        <v>30</v>
      </c>
      <c r="AW35" s="226">
        <f t="shared" si="18"/>
        <v>325</v>
      </c>
      <c r="AX35" s="226" t="str">
        <f t="shared" si="18"/>
        <v xml:space="preserve">نصوص ومصطلحات سياسية باللغة الانكليزية  </v>
      </c>
      <c r="AY35" s="228">
        <f t="shared" si="19"/>
        <v>0</v>
      </c>
      <c r="AZ35" s="228">
        <f t="shared" si="19"/>
        <v>0</v>
      </c>
      <c r="BA35" s="229"/>
      <c r="BB35" s="229"/>
      <c r="BC35" s="226"/>
      <c r="BD35" s="226"/>
      <c r="BE35" s="229"/>
    </row>
    <row r="36" spans="3:57" s="30" customFormat="1" ht="16.8" thickTop="1" thickBot="1" x14ac:dyDescent="0.3">
      <c r="D36" s="139"/>
      <c r="E36" s="207"/>
      <c r="F36" s="207"/>
      <c r="G36" s="207"/>
      <c r="H36" s="207"/>
      <c r="I36" s="81"/>
      <c r="J36" s="3"/>
      <c r="K36" s="22"/>
      <c r="L36" s="3"/>
      <c r="M36" s="4"/>
      <c r="N36" s="5"/>
      <c r="O36" s="5"/>
      <c r="P36" s="5"/>
      <c r="Q36" s="3"/>
      <c r="R36" s="3"/>
      <c r="S36" s="3"/>
      <c r="T36" s="3"/>
      <c r="U36" s="3"/>
      <c r="V36" s="3"/>
      <c r="W36" s="3"/>
      <c r="X36" s="3"/>
      <c r="Y36" s="3"/>
      <c r="Z36" s="3"/>
      <c r="AA36" s="3"/>
      <c r="AB36" s="3"/>
      <c r="AC36" s="3"/>
      <c r="AD36" s="3"/>
      <c r="AE36" s="3"/>
      <c r="AF36" s="3" t="s">
        <v>69</v>
      </c>
      <c r="AG36" s="3"/>
      <c r="AH36" s="3"/>
      <c r="AM36" s="223" t="str">
        <f>IF(AA10&lt;&gt;"",AA10,"")</f>
        <v/>
      </c>
      <c r="AN36" s="224">
        <v>28</v>
      </c>
      <c r="AV36" s="226">
        <v>31</v>
      </c>
      <c r="AW36" s="226">
        <f t="shared" ref="AW36:AX40" si="20">U15</f>
        <v>411</v>
      </c>
      <c r="AX36" s="226" t="str">
        <f t="shared" si="20"/>
        <v xml:space="preserve">تدريبات في كتابة المقال باللغة العربية </v>
      </c>
      <c r="AY36" s="229">
        <f t="shared" ref="AY36:AZ40" si="21">Y15</f>
        <v>0</v>
      </c>
      <c r="AZ36" s="229">
        <f t="shared" si="21"/>
        <v>0</v>
      </c>
      <c r="BA36" s="229"/>
      <c r="BB36" s="229"/>
      <c r="BC36" s="226"/>
      <c r="BD36" s="226"/>
      <c r="BE36" s="229"/>
    </row>
    <row r="37" spans="3:57" s="30" customFormat="1" ht="16.8" thickTop="1" thickBot="1" x14ac:dyDescent="0.3">
      <c r="C37"/>
      <c r="D37" s="139"/>
      <c r="E37" s="207"/>
      <c r="F37" s="207"/>
      <c r="G37" s="207"/>
      <c r="H37" s="207"/>
      <c r="I37" s="81"/>
      <c r="J37" s="3"/>
      <c r="K37" s="22"/>
      <c r="L37" s="3"/>
      <c r="M37" s="4"/>
      <c r="N37" s="5"/>
      <c r="O37" s="5"/>
      <c r="P37" s="5"/>
      <c r="Q37" s="3"/>
      <c r="R37" s="3"/>
      <c r="S37" s="3"/>
      <c r="T37" s="3"/>
      <c r="U37" s="3"/>
      <c r="V37" s="3"/>
      <c r="W37" s="3"/>
      <c r="X37" s="3"/>
      <c r="Y37" s="3"/>
      <c r="Z37" s="3"/>
      <c r="AA37" s="3"/>
      <c r="AB37" s="3"/>
      <c r="AC37" s="3"/>
      <c r="AD37" s="3"/>
      <c r="AE37" s="3"/>
      <c r="AF37" s="3" t="s">
        <v>70</v>
      </c>
      <c r="AG37" s="3"/>
      <c r="AH37" s="3"/>
      <c r="AM37" s="223" t="str">
        <f>IF(AA11&lt;&gt;"",AA11,"")</f>
        <v/>
      </c>
      <c r="AN37" s="224">
        <v>29</v>
      </c>
      <c r="AV37" s="226">
        <v>32</v>
      </c>
      <c r="AW37" s="226">
        <f t="shared" si="20"/>
        <v>412</v>
      </c>
      <c r="AX37" s="226" t="str">
        <f t="shared" si="20"/>
        <v>المقال  ENG (1)</v>
      </c>
      <c r="AY37" s="229">
        <f t="shared" si="21"/>
        <v>0</v>
      </c>
      <c r="AZ37" s="229">
        <f t="shared" si="21"/>
        <v>0</v>
      </c>
      <c r="BA37" s="229"/>
      <c r="BB37" s="229"/>
      <c r="BC37" s="226"/>
      <c r="BD37" s="226"/>
      <c r="BE37" s="229"/>
    </row>
    <row r="38" spans="3:57" s="30" customFormat="1" ht="16.8" thickTop="1" thickBot="1" x14ac:dyDescent="0.3">
      <c r="C38"/>
      <c r="D38" s="139"/>
      <c r="E38" s="207"/>
      <c r="F38" s="207"/>
      <c r="G38" s="207"/>
      <c r="H38" s="207"/>
      <c r="I38" s="81"/>
      <c r="J38" s="3"/>
      <c r="K38" s="22"/>
      <c r="L38" s="3"/>
      <c r="M38" s="373"/>
      <c r="N38" s="373"/>
      <c r="P38" s="88"/>
      <c r="Q38" s="88"/>
      <c r="R38" s="88"/>
      <c r="S38" s="88"/>
      <c r="T38" s="89"/>
      <c r="U38" s="90"/>
      <c r="V38" s="90"/>
      <c r="W38" s="90"/>
      <c r="Y38" s="88"/>
      <c r="Z38" s="88"/>
      <c r="AA38" s="90"/>
      <c r="AB38" s="90"/>
      <c r="AC38" s="90"/>
      <c r="AD38" s="90"/>
      <c r="AF38" s="88" t="s">
        <v>68</v>
      </c>
      <c r="AG38" s="88"/>
      <c r="AH38" s="88"/>
      <c r="AM38" s="223" t="str">
        <f>IF(AA12&lt;&gt;"",AA12,"")</f>
        <v/>
      </c>
      <c r="AN38" s="224">
        <v>30</v>
      </c>
      <c r="AV38" s="226">
        <v>33</v>
      </c>
      <c r="AW38" s="226">
        <f t="shared" si="20"/>
        <v>413</v>
      </c>
      <c r="AX38" s="226" t="str">
        <f t="shared" si="20"/>
        <v xml:space="preserve">لغويات مقارنة </v>
      </c>
      <c r="AY38" s="229">
        <f t="shared" si="21"/>
        <v>0</v>
      </c>
      <c r="AZ38" s="229">
        <f t="shared" si="21"/>
        <v>0</v>
      </c>
      <c r="BA38" s="229"/>
      <c r="BB38" s="229"/>
      <c r="BC38" s="226"/>
      <c r="BD38" s="226"/>
      <c r="BE38" s="229"/>
    </row>
    <row r="39" spans="3:57" s="30" customFormat="1" ht="22.2" thickTop="1" thickBot="1" x14ac:dyDescent="0.3">
      <c r="C39" s="1" t="e">
        <f>IF(VLOOKUP($F$1,#REF!,22,0)&lt;&gt;"",1,"")</f>
        <v>#REF!</v>
      </c>
      <c r="D39" s="139"/>
      <c r="E39" s="207"/>
      <c r="F39" s="207"/>
      <c r="G39" s="207"/>
      <c r="H39" s="207"/>
      <c r="I39" s="81"/>
      <c r="J39" s="3"/>
      <c r="K39" s="22"/>
      <c r="L39" s="3"/>
      <c r="M39" s="404"/>
      <c r="N39" s="404"/>
      <c r="P39" s="88"/>
      <c r="Q39" s="88"/>
      <c r="R39" s="88"/>
      <c r="S39" s="88"/>
      <c r="T39" s="89"/>
      <c r="U39" s="90"/>
      <c r="V39" s="90"/>
      <c r="W39" s="90"/>
      <c r="Y39" s="91"/>
      <c r="Z39" s="92"/>
      <c r="AA39" s="92"/>
      <c r="AB39" s="92"/>
      <c r="AC39" s="92"/>
      <c r="AD39" s="92"/>
      <c r="AE39" s="92"/>
      <c r="AF39" s="92"/>
      <c r="AG39" s="92"/>
      <c r="AH39" s="92"/>
      <c r="AM39" s="223" t="str">
        <f>IF(S15&lt;&gt;"",S15,"")</f>
        <v/>
      </c>
      <c r="AN39" s="224">
        <v>31</v>
      </c>
      <c r="AV39" s="226">
        <v>34</v>
      </c>
      <c r="AW39" s="226">
        <f t="shared" si="20"/>
        <v>414</v>
      </c>
      <c r="AX39" s="226" t="str">
        <f t="shared" si="20"/>
        <v xml:space="preserve">ترجمة تحريرية من والى العربية </v>
      </c>
      <c r="AY39" s="229">
        <f t="shared" si="21"/>
        <v>0</v>
      </c>
      <c r="AZ39" s="229">
        <f t="shared" si="21"/>
        <v>0</v>
      </c>
      <c r="BA39" s="229"/>
      <c r="BB39" s="229"/>
      <c r="BC39" s="226"/>
      <c r="BD39" s="226"/>
      <c r="BE39" s="229"/>
    </row>
    <row r="40" spans="3:57" s="30" customFormat="1" ht="16.8" thickTop="1" thickBot="1" x14ac:dyDescent="0.3">
      <c r="C40" s="1" t="e">
        <f>IF(VLOOKUP($F$1,#REF!,23,0)&lt;&gt;"",2,"")</f>
        <v>#REF!</v>
      </c>
      <c r="D40" s="139"/>
      <c r="E40" s="207"/>
      <c r="F40" s="207"/>
      <c r="G40" s="207"/>
      <c r="H40" s="207"/>
      <c r="I40" s="81"/>
      <c r="J40" s="3"/>
      <c r="K40" s="22"/>
      <c r="L40" s="3"/>
      <c r="M40" s="373"/>
      <c r="N40" s="373"/>
      <c r="P40" s="108"/>
      <c r="Q40" s="108"/>
      <c r="R40" s="108"/>
      <c r="S40" s="108"/>
      <c r="T40" s="89"/>
      <c r="U40" s="90"/>
      <c r="V40" s="90"/>
      <c r="W40" s="90"/>
      <c r="Y40" s="93"/>
      <c r="Z40" s="93"/>
      <c r="AA40" s="90"/>
      <c r="AB40" s="90"/>
      <c r="AC40" s="90"/>
      <c r="AD40" s="90"/>
      <c r="AF40" s="88"/>
      <c r="AG40" s="88"/>
      <c r="AH40" s="88"/>
      <c r="AM40" s="223" t="str">
        <f>IF(S16&lt;&gt;"",S16,"")</f>
        <v/>
      </c>
      <c r="AN40" s="224">
        <v>32</v>
      </c>
      <c r="AV40" s="226">
        <v>35</v>
      </c>
      <c r="AW40" s="226">
        <f t="shared" si="20"/>
        <v>415</v>
      </c>
      <c r="AX40" s="226" t="str">
        <f t="shared" si="20"/>
        <v>ترجمة فورية (1)(تدريب عملي )</v>
      </c>
      <c r="AY40" s="229">
        <f t="shared" si="21"/>
        <v>0</v>
      </c>
      <c r="AZ40" s="229">
        <f t="shared" si="21"/>
        <v>0</v>
      </c>
      <c r="BA40" s="229"/>
      <c r="BB40" s="229"/>
      <c r="BC40" s="226"/>
      <c r="BD40" s="226"/>
      <c r="BE40" s="229"/>
    </row>
    <row r="41" spans="3:57" s="30" customFormat="1" ht="16.8" thickTop="1" thickBot="1" x14ac:dyDescent="0.3">
      <c r="C41" s="1" t="e">
        <f>IF(VLOOKUP($F$1,#REF!,24,0)&lt;&gt;"",3,"")</f>
        <v>#REF!</v>
      </c>
      <c r="D41" s="207"/>
      <c r="E41" s="207"/>
      <c r="F41" s="208"/>
      <c r="G41" s="81"/>
      <c r="H41" s="81"/>
      <c r="I41" s="209"/>
      <c r="J41" s="23"/>
      <c r="K41" s="23"/>
      <c r="L41" s="23"/>
      <c r="M41" s="402"/>
      <c r="N41" s="377"/>
      <c r="O41" s="377"/>
      <c r="P41" s="377"/>
      <c r="Q41" s="377"/>
      <c r="R41" s="377"/>
      <c r="V41" s="376"/>
      <c r="W41" s="376"/>
      <c r="X41" s="376"/>
      <c r="AA41" s="377"/>
      <c r="AB41" s="377"/>
      <c r="AC41" s="377"/>
      <c r="AD41" s="377"/>
      <c r="AE41" s="377"/>
      <c r="AF41" s="377"/>
      <c r="AM41" s="223" t="str">
        <f>IF(S17&lt;&gt;"",S17,"")</f>
        <v/>
      </c>
      <c r="AN41" s="224">
        <v>33</v>
      </c>
      <c r="AV41" s="226">
        <v>36</v>
      </c>
      <c r="AW41" s="226">
        <f t="shared" ref="AW41:AX45" si="22">AC15</f>
        <v>421</v>
      </c>
      <c r="AX41" s="230" t="str">
        <f t="shared" si="22"/>
        <v>نصوص من الادب العربي المعاصر (2)</v>
      </c>
      <c r="AY41" s="229">
        <f t="shared" ref="AY41:AZ45" si="23">AG15</f>
        <v>0</v>
      </c>
      <c r="AZ41" s="229">
        <f t="shared" si="23"/>
        <v>0</v>
      </c>
      <c r="BA41" s="229"/>
      <c r="BB41" s="229"/>
      <c r="BC41" s="230"/>
      <c r="BD41" s="230"/>
      <c r="BE41" s="229"/>
    </row>
    <row r="42" spans="3:57" s="30" customFormat="1" ht="18.600000000000001" thickTop="1" thickBot="1" x14ac:dyDescent="0.3">
      <c r="C42" s="1" t="e">
        <f>IF(VLOOKUP($F$1,#REF!,25,0)&lt;&gt;"",4,"")</f>
        <v>#REF!</v>
      </c>
      <c r="D42" s="210"/>
      <c r="E42" s="207"/>
      <c r="F42" s="207"/>
      <c r="G42" s="207"/>
      <c r="H42" s="81"/>
      <c r="I42" s="209"/>
      <c r="J42" s="23"/>
      <c r="K42" s="23"/>
      <c r="L42" s="23"/>
      <c r="M42" s="372"/>
      <c r="N42" s="372"/>
      <c r="O42" s="372"/>
      <c r="P42" s="372"/>
      <c r="Q42" s="372"/>
      <c r="R42" s="372"/>
      <c r="S42" s="377"/>
      <c r="T42" s="377"/>
      <c r="U42" s="377"/>
      <c r="V42" s="372"/>
      <c r="W42" s="372"/>
      <c r="X42" s="372"/>
      <c r="Y42" s="372"/>
      <c r="Z42" s="372"/>
      <c r="AA42" s="372"/>
      <c r="AB42" s="372"/>
      <c r="AC42" s="372"/>
      <c r="AD42" s="372"/>
      <c r="AE42" s="372"/>
      <c r="AF42" s="372"/>
      <c r="AG42" s="94"/>
      <c r="AH42" s="94"/>
      <c r="AM42" s="223" t="str">
        <f>IF(S18&lt;&gt;"",S18,"")</f>
        <v/>
      </c>
      <c r="AN42" s="224">
        <v>34</v>
      </c>
      <c r="AV42" s="226">
        <v>37</v>
      </c>
      <c r="AW42" s="226">
        <f t="shared" si="22"/>
        <v>422</v>
      </c>
      <c r="AX42" s="230" t="str">
        <f t="shared" si="22"/>
        <v>المقال  ENG (2)</v>
      </c>
      <c r="AY42" s="229">
        <f t="shared" si="23"/>
        <v>0</v>
      </c>
      <c r="AZ42" s="229">
        <f t="shared" si="23"/>
        <v>0</v>
      </c>
      <c r="BA42" s="229"/>
      <c r="BB42" s="229"/>
      <c r="BC42" s="230"/>
      <c r="BD42" s="230"/>
      <c r="BE42" s="229"/>
    </row>
    <row r="43" spans="3:57" s="30" customFormat="1" ht="18.600000000000001" thickTop="1" thickBot="1" x14ac:dyDescent="0.3">
      <c r="C43" s="1" t="e">
        <f>IF(VLOOKUP($F$1,#REF!,26,0)&lt;&gt;"",5,"")</f>
        <v>#REF!</v>
      </c>
      <c r="D43" s="211"/>
      <c r="E43" s="211"/>
      <c r="F43" s="211"/>
      <c r="G43" s="211"/>
      <c r="H43" s="212"/>
      <c r="I43" s="210"/>
      <c r="J43" s="7"/>
      <c r="K43" s="7"/>
      <c r="L43" s="7"/>
      <c r="M43" s="5"/>
      <c r="N43" s="5"/>
      <c r="O43" s="24"/>
      <c r="P43" s="24"/>
      <c r="Q43" s="24"/>
      <c r="R43" s="24"/>
      <c r="AM43" s="223" t="str">
        <f>IF(S19&lt;&gt;"",S19,"")</f>
        <v/>
      </c>
      <c r="AN43" s="224">
        <v>35</v>
      </c>
      <c r="AV43" s="226">
        <v>38</v>
      </c>
      <c r="AW43" s="226">
        <f t="shared" si="22"/>
        <v>423</v>
      </c>
      <c r="AX43" s="230" t="str">
        <f t="shared" si="22"/>
        <v xml:space="preserve">مقدمة في تحليل النصوص بالإنكليزية </v>
      </c>
      <c r="AY43" s="229">
        <f t="shared" si="23"/>
        <v>0</v>
      </c>
      <c r="AZ43" s="229">
        <f t="shared" si="23"/>
        <v>0</v>
      </c>
      <c r="BA43" s="229"/>
      <c r="BB43" s="229"/>
      <c r="BC43" s="230"/>
      <c r="BD43" s="230"/>
      <c r="BE43" s="229"/>
    </row>
    <row r="44" spans="3:57" s="30" customFormat="1" ht="16.8" thickTop="1" thickBot="1" x14ac:dyDescent="0.3">
      <c r="C44" s="1" t="e">
        <f>IF(VLOOKUP($F$1,#REF!,27,0)&lt;&gt;"",6,"")</f>
        <v>#REF!</v>
      </c>
      <c r="D44" s="207"/>
      <c r="E44" s="207"/>
      <c r="F44" s="81"/>
      <c r="G44" s="81"/>
      <c r="H44" s="207"/>
      <c r="I44" s="207"/>
      <c r="J44" s="5"/>
      <c r="K44" s="5"/>
      <c r="L44" s="5"/>
      <c r="M44" s="5"/>
      <c r="N44" s="9"/>
      <c r="O44" s="24"/>
      <c r="P44" s="24"/>
      <c r="Q44" s="24"/>
      <c r="R44" s="24"/>
      <c r="AM44" s="223" t="str">
        <f>IF(AA15&lt;&gt;"",AA15,"")</f>
        <v/>
      </c>
      <c r="AN44" s="224">
        <v>36</v>
      </c>
      <c r="AV44" s="226">
        <v>39</v>
      </c>
      <c r="AW44" s="226">
        <f t="shared" si="22"/>
        <v>424</v>
      </c>
      <c r="AX44" s="230" t="str">
        <f t="shared" si="22"/>
        <v xml:space="preserve">ترجمة ادبية من والى العربية </v>
      </c>
      <c r="AY44" s="229">
        <f t="shared" si="23"/>
        <v>0</v>
      </c>
      <c r="AZ44" s="229">
        <f t="shared" si="23"/>
        <v>0</v>
      </c>
      <c r="BA44" s="229"/>
      <c r="BB44" s="229"/>
      <c r="BC44" s="230"/>
      <c r="BD44" s="230"/>
      <c r="BE44" s="229"/>
    </row>
    <row r="45" spans="3:57" s="30" customFormat="1" ht="19.5" customHeight="1" thickTop="1" thickBot="1" x14ac:dyDescent="0.3">
      <c r="C45" s="1" t="e">
        <f>IF(VLOOKUP($F$1,#REF!,28,0)&lt;&gt;"",7,"")</f>
        <v>#REF!</v>
      </c>
      <c r="I45" s="207"/>
      <c r="J45" s="5"/>
      <c r="K45" s="5"/>
      <c r="L45" s="5"/>
      <c r="M45" s="5"/>
      <c r="N45" s="6"/>
      <c r="O45" s="6"/>
      <c r="P45" s="10"/>
      <c r="Q45" s="10"/>
      <c r="R45" s="10"/>
      <c r="AM45" s="223" t="str">
        <f>IF(AA16&lt;&gt;"",AA16,"")</f>
        <v/>
      </c>
      <c r="AN45" s="224">
        <v>37</v>
      </c>
      <c r="AV45" s="226">
        <v>40</v>
      </c>
      <c r="AW45" s="226">
        <f t="shared" si="22"/>
        <v>425</v>
      </c>
      <c r="AX45" s="230" t="str">
        <f t="shared" si="22"/>
        <v>ترجمة فورية (2)(تدريب عملي )</v>
      </c>
      <c r="AY45" s="229">
        <f t="shared" si="23"/>
        <v>0</v>
      </c>
      <c r="AZ45" s="229">
        <f t="shared" si="23"/>
        <v>0</v>
      </c>
      <c r="BA45" s="229"/>
      <c r="BB45" s="229"/>
      <c r="BC45" s="230"/>
      <c r="BD45" s="230"/>
      <c r="BE45" s="229"/>
    </row>
    <row r="46" spans="3:57" s="30" customFormat="1" ht="16.8" thickTop="1" thickBot="1" x14ac:dyDescent="0.3">
      <c r="C46" s="1" t="e">
        <f>IF(VLOOKUP($F$1,#REF!,30,0)&lt;&gt;"",8,"")</f>
        <v>#REF!</v>
      </c>
      <c r="I46" s="49"/>
      <c r="AM46" s="223" t="str">
        <f>IF(AA17&lt;&gt;"",AA17,"")</f>
        <v/>
      </c>
      <c r="AN46" s="224">
        <v>38</v>
      </c>
      <c r="AV46" s="226"/>
      <c r="AW46" s="229"/>
      <c r="AX46" s="229"/>
      <c r="AY46" s="229"/>
      <c r="AZ46" s="229"/>
      <c r="BA46" s="227"/>
      <c r="BB46" s="229"/>
      <c r="BC46" s="229"/>
      <c r="BD46" s="229"/>
      <c r="BE46" s="229"/>
    </row>
    <row r="47" spans="3:57" s="30" customFormat="1" ht="16.8" thickTop="1" thickBot="1" x14ac:dyDescent="0.3">
      <c r="C47" s="1" t="e">
        <f>IF(VLOOKUP($F$1,#REF!,31,0)&lt;&gt;"",9,"")</f>
        <v>#REF!</v>
      </c>
      <c r="I47" s="213"/>
      <c r="J47" s="25"/>
      <c r="K47" s="25"/>
      <c r="L47" s="25"/>
      <c r="M47" s="25"/>
      <c r="N47" s="25"/>
      <c r="O47" s="25"/>
      <c r="P47" s="25"/>
      <c r="Q47" s="25"/>
      <c r="R47" s="25"/>
      <c r="AM47" s="223" t="str">
        <f>IF(AA18&lt;&gt;"",AA18,"")</f>
        <v/>
      </c>
      <c r="AN47" s="224">
        <v>39</v>
      </c>
      <c r="AV47" s="226"/>
      <c r="AW47" s="226"/>
      <c r="AX47" s="231"/>
      <c r="AY47" s="229"/>
      <c r="AZ47" s="229"/>
      <c r="BA47" s="227"/>
      <c r="BB47" s="229"/>
      <c r="BC47" s="229"/>
      <c r="BD47" s="229"/>
      <c r="BE47" s="229"/>
    </row>
    <row r="48" spans="3:57" s="30" customFormat="1" ht="16.8" thickTop="1" thickBot="1" x14ac:dyDescent="0.3">
      <c r="C48" s="1" t="e">
        <f>IF(VLOOKUP($F$1,#REF!,39,0)&lt;&gt;"",10,"")</f>
        <v>#REF!</v>
      </c>
      <c r="I48" s="213"/>
      <c r="J48" s="25"/>
      <c r="K48" s="25"/>
      <c r="L48" s="25"/>
      <c r="M48" s="25"/>
      <c r="N48" s="25"/>
      <c r="O48" s="25"/>
      <c r="P48" s="25"/>
      <c r="Q48" s="25"/>
      <c r="R48" s="25"/>
      <c r="AM48" s="223" t="str">
        <f>IF(AA19&lt;&gt;"",AA19,"")</f>
        <v/>
      </c>
      <c r="AN48" s="224">
        <v>40</v>
      </c>
      <c r="AV48" s="226"/>
      <c r="AW48" s="226"/>
      <c r="AX48" s="231"/>
      <c r="AY48" s="229"/>
      <c r="AZ48" s="229"/>
      <c r="BA48" s="227"/>
      <c r="BB48" s="229"/>
      <c r="BC48" s="229"/>
      <c r="BD48" s="229"/>
      <c r="BE48" s="229"/>
    </row>
    <row r="49" spans="3:57" s="30" customFormat="1" ht="18.600000000000001" thickTop="1" thickBot="1" x14ac:dyDescent="0.3">
      <c r="C49" s="1" t="e">
        <f>IF(VLOOKUP($F$1,#REF!,40,0)&lt;&gt;"",11,"")</f>
        <v>#REF!</v>
      </c>
      <c r="I49" s="50"/>
      <c r="J49" s="12"/>
      <c r="K49" s="12"/>
      <c r="L49" s="7"/>
      <c r="M49" s="7"/>
      <c r="N49" s="12"/>
      <c r="O49" s="12"/>
      <c r="P49" s="11"/>
      <c r="Q49" s="11"/>
      <c r="R49" s="11"/>
      <c r="AM49" s="36"/>
      <c r="AN49"/>
      <c r="AV49" s="226"/>
      <c r="AW49" s="226"/>
      <c r="AX49" s="231"/>
      <c r="AY49" s="229"/>
      <c r="AZ49" s="229"/>
      <c r="BA49" s="227"/>
      <c r="BB49" s="229"/>
      <c r="BC49" s="229"/>
      <c r="BD49" s="229"/>
      <c r="BE49" s="229"/>
    </row>
    <row r="50" spans="3:57" s="30" customFormat="1" ht="18.600000000000001" thickTop="1" thickBot="1" x14ac:dyDescent="0.3">
      <c r="C50" s="49">
        <v>1</v>
      </c>
      <c r="D50" s="49" t="s">
        <v>150</v>
      </c>
      <c r="E50" s="49"/>
      <c r="F50" s="212"/>
      <c r="G50" s="207"/>
      <c r="I50" s="81"/>
      <c r="J50" s="3"/>
      <c r="K50" s="3"/>
      <c r="L50" s="3"/>
      <c r="M50" s="3"/>
      <c r="N50" s="3"/>
      <c r="O50" s="3"/>
      <c r="P50" s="12"/>
      <c r="Q50" s="12"/>
      <c r="R50" s="12"/>
      <c r="AM50" s="36"/>
      <c r="AN50"/>
      <c r="AV50" s="226"/>
      <c r="AW50" s="226"/>
      <c r="AX50" s="231"/>
      <c r="AY50" s="229"/>
      <c r="AZ50" s="229"/>
      <c r="BA50" s="227"/>
      <c r="BB50" s="229"/>
      <c r="BC50" s="229"/>
      <c r="BD50" s="229"/>
      <c r="BE50" s="229"/>
    </row>
    <row r="51" spans="3:57" s="30" customFormat="1" ht="21.75" customHeight="1" thickTop="1" x14ac:dyDescent="0.6">
      <c r="C51" s="49">
        <v>2</v>
      </c>
      <c r="D51" s="49" t="s">
        <v>146</v>
      </c>
      <c r="E51" s="49"/>
      <c r="F51" s="49"/>
      <c r="G51" s="49"/>
      <c r="I51" s="215"/>
      <c r="J51" s="26"/>
      <c r="K51" s="26"/>
      <c r="L51" s="26"/>
      <c r="M51" s="26"/>
      <c r="N51" s="26"/>
      <c r="O51" s="26"/>
      <c r="P51" s="26"/>
      <c r="Q51" s="26"/>
      <c r="R51" s="26"/>
      <c r="AN51"/>
      <c r="AV51" s="226"/>
      <c r="AW51" s="226"/>
      <c r="AX51" s="231"/>
      <c r="AY51" s="229"/>
      <c r="AZ51" s="229"/>
      <c r="BA51" s="227"/>
      <c r="BB51" s="229"/>
      <c r="BC51" s="229"/>
      <c r="BD51" s="229"/>
      <c r="BE51" s="229"/>
    </row>
    <row r="52" spans="3:57" s="30" customFormat="1" ht="21.6" thickBot="1" x14ac:dyDescent="0.3">
      <c r="C52" s="49">
        <v>3</v>
      </c>
      <c r="D52" s="49" t="s">
        <v>151</v>
      </c>
      <c r="E52" s="49"/>
      <c r="F52" s="213"/>
      <c r="G52" s="213"/>
      <c r="I52" s="216"/>
      <c r="J52" s="13"/>
      <c r="K52" s="13"/>
      <c r="L52" s="13"/>
      <c r="M52" s="13"/>
      <c r="N52" s="13"/>
      <c r="O52" s="7"/>
      <c r="P52" s="7"/>
      <c r="Q52" s="7"/>
      <c r="R52" s="7"/>
      <c r="AM52" s="36"/>
      <c r="AN52"/>
      <c r="AV52" s="226"/>
      <c r="AW52" s="226"/>
      <c r="AX52" s="231"/>
      <c r="AY52" s="229"/>
      <c r="AZ52" s="229"/>
      <c r="BA52" s="227"/>
      <c r="BB52" s="229"/>
      <c r="BC52" s="229"/>
      <c r="BD52" s="229"/>
      <c r="BE52" s="229"/>
    </row>
    <row r="53" spans="3:57" s="30" customFormat="1" ht="22.2" thickTop="1" thickBot="1" x14ac:dyDescent="0.3">
      <c r="C53" s="49">
        <v>4</v>
      </c>
      <c r="D53" s="49" t="s">
        <v>157</v>
      </c>
      <c r="E53" s="49"/>
      <c r="F53" s="213"/>
      <c r="G53" s="213"/>
      <c r="I53" s="217"/>
      <c r="J53" s="14"/>
      <c r="K53" s="14"/>
      <c r="L53" s="14"/>
      <c r="M53" s="14"/>
      <c r="N53" s="14"/>
      <c r="O53" s="8"/>
      <c r="P53" s="8"/>
      <c r="Q53" s="8"/>
      <c r="R53" s="8"/>
      <c r="AM53" s="36"/>
      <c r="AN53"/>
      <c r="AV53" s="226"/>
      <c r="AW53" s="226"/>
      <c r="AX53" s="231"/>
      <c r="AY53" s="229"/>
      <c r="AZ53" s="229"/>
      <c r="BA53" s="227"/>
      <c r="BB53" s="229"/>
      <c r="BC53" s="229"/>
      <c r="BD53" s="229"/>
      <c r="BE53" s="229"/>
    </row>
    <row r="54" spans="3:57" s="30" customFormat="1" ht="22.2" thickTop="1" thickBot="1" x14ac:dyDescent="0.45">
      <c r="C54" s="49">
        <v>5</v>
      </c>
      <c r="D54" s="49" t="s">
        <v>152</v>
      </c>
      <c r="E54" s="49"/>
      <c r="F54" s="214"/>
      <c r="G54" s="214"/>
      <c r="I54" s="2"/>
      <c r="J54" s="15"/>
      <c r="K54" s="15"/>
      <c r="L54" s="16"/>
      <c r="M54" s="17"/>
      <c r="N54" s="17"/>
      <c r="O54" s="18"/>
      <c r="P54" s="18"/>
      <c r="Q54" s="18"/>
      <c r="R54" s="18"/>
      <c r="AM54" s="36"/>
      <c r="AN54"/>
      <c r="AV54" s="226"/>
      <c r="AW54" s="229"/>
      <c r="AX54" s="232"/>
      <c r="AY54" s="229"/>
      <c r="AZ54" s="229"/>
      <c r="BA54" s="229"/>
      <c r="BB54" s="229"/>
      <c r="BC54" s="229"/>
      <c r="BD54" s="229"/>
      <c r="BE54" s="229"/>
    </row>
    <row r="55" spans="3:57" s="30" customFormat="1" ht="22.2" thickTop="1" thickBot="1" x14ac:dyDescent="0.45">
      <c r="C55" s="49">
        <v>6</v>
      </c>
      <c r="D55" s="49" t="s">
        <v>213</v>
      </c>
      <c r="E55" s="50"/>
      <c r="F55" s="50"/>
      <c r="G55" s="50"/>
      <c r="H55" s="218"/>
      <c r="I55" s="2"/>
      <c r="J55" s="19"/>
      <c r="K55" s="19"/>
      <c r="L55" s="19"/>
      <c r="M55" s="19"/>
      <c r="N55" s="19"/>
      <c r="O55" s="3"/>
      <c r="P55" s="20"/>
      <c r="Q55" s="20"/>
      <c r="R55" s="20"/>
      <c r="AM55" s="36"/>
      <c r="AN55"/>
      <c r="AV55" s="229"/>
      <c r="AW55" s="229"/>
      <c r="AX55" s="232"/>
      <c r="AY55" s="229"/>
      <c r="AZ55" s="229"/>
      <c r="BA55" s="229"/>
      <c r="BB55" s="229"/>
      <c r="BC55" s="229"/>
      <c r="BD55" s="229"/>
      <c r="BE55" s="229"/>
    </row>
    <row r="56" spans="3:57" ht="24.6" thickTop="1" thickBot="1" x14ac:dyDescent="0.65">
      <c r="C56" s="49">
        <v>7</v>
      </c>
      <c r="D56" s="49" t="s">
        <v>215</v>
      </c>
      <c r="E56" s="50"/>
      <c r="F56" s="50"/>
      <c r="G56" s="215"/>
      <c r="H56" s="2"/>
      <c r="I56" s="2"/>
      <c r="J56" s="19"/>
      <c r="K56" s="2"/>
      <c r="L56" s="2"/>
      <c r="M56" s="2"/>
      <c r="N56" s="2"/>
      <c r="O56" s="1"/>
      <c r="P56" s="1"/>
      <c r="Q56" s="1"/>
      <c r="R56" s="1"/>
      <c r="AM56" s="36"/>
      <c r="AV56" s="229"/>
      <c r="AW56" s="229"/>
      <c r="AX56" s="232"/>
      <c r="AY56" s="229"/>
      <c r="AZ56" s="229"/>
      <c r="BA56" s="229"/>
      <c r="BB56" s="229"/>
      <c r="BC56" s="229"/>
      <c r="BD56" s="229"/>
      <c r="BE56" s="229"/>
    </row>
    <row r="57" spans="3:57" ht="14.25" customHeight="1" thickTop="1" x14ac:dyDescent="0.25">
      <c r="C57" s="216">
        <v>8</v>
      </c>
      <c r="D57" s="216" t="s">
        <v>279</v>
      </c>
      <c r="E57" s="216"/>
      <c r="F57" s="216"/>
      <c r="G57" s="216"/>
      <c r="H57" s="49"/>
      <c r="I57" s="49"/>
      <c r="J57" s="30"/>
      <c r="AV57" s="229"/>
      <c r="AW57" s="229"/>
      <c r="AX57" s="232"/>
      <c r="AY57" s="229"/>
      <c r="AZ57" s="229"/>
      <c r="BA57" s="229"/>
      <c r="BB57" s="229"/>
      <c r="BC57" s="229"/>
      <c r="BD57" s="229"/>
      <c r="BE57" s="229"/>
    </row>
    <row r="58" spans="3:57" ht="14.25" customHeight="1" x14ac:dyDescent="0.25">
      <c r="C58" s="217">
        <v>9</v>
      </c>
      <c r="D58" s="216" t="s">
        <v>280</v>
      </c>
      <c r="E58" s="216"/>
      <c r="F58" s="217"/>
      <c r="G58" s="217"/>
      <c r="H58" s="49"/>
      <c r="I58" s="49"/>
    </row>
    <row r="59" spans="3:57" ht="14.25" customHeight="1" x14ac:dyDescent="0.4">
      <c r="C59" s="2">
        <v>10</v>
      </c>
      <c r="D59" s="216" t="s">
        <v>282</v>
      </c>
      <c r="E59" s="2"/>
      <c r="F59" s="2"/>
      <c r="G59" s="2"/>
    </row>
    <row r="60" spans="3:57" ht="14.25" customHeight="1" x14ac:dyDescent="0.25">
      <c r="C60">
        <v>11</v>
      </c>
      <c r="D60" s="216" t="s">
        <v>283</v>
      </c>
    </row>
  </sheetData>
  <sheetProtection selectLockedCells="1"/>
  <mergeCells count="154">
    <mergeCell ref="D35:I35"/>
    <mergeCell ref="D34:I34"/>
    <mergeCell ref="D33:I33"/>
    <mergeCell ref="AD19:AF19"/>
    <mergeCell ref="D26:I26"/>
    <mergeCell ref="M39:N39"/>
    <mergeCell ref="Z25:AD25"/>
    <mergeCell ref="Z27:AD27"/>
    <mergeCell ref="L27:N27"/>
    <mergeCell ref="L28:N28"/>
    <mergeCell ref="V19:X19"/>
    <mergeCell ref="N19:P19"/>
    <mergeCell ref="O25:R25"/>
    <mergeCell ref="D32:I32"/>
    <mergeCell ref="D28:I28"/>
    <mergeCell ref="AE26:AG26"/>
    <mergeCell ref="L31:AH31"/>
    <mergeCell ref="L30:Q30"/>
    <mergeCell ref="R30:T30"/>
    <mergeCell ref="U30:W30"/>
    <mergeCell ref="X30:Y30"/>
    <mergeCell ref="Z30:AE30"/>
    <mergeCell ref="AE27:AG27"/>
    <mergeCell ref="T28:V28"/>
    <mergeCell ref="W28:Y28"/>
    <mergeCell ref="Z28:AG28"/>
    <mergeCell ref="D30:I30"/>
    <mergeCell ref="AA42:AF42"/>
    <mergeCell ref="M40:N40"/>
    <mergeCell ref="M38:N38"/>
    <mergeCell ref="L26:N26"/>
    <mergeCell ref="V41:X41"/>
    <mergeCell ref="AA41:AF41"/>
    <mergeCell ref="Z26:AD26"/>
    <mergeCell ref="O26:R26"/>
    <mergeCell ref="V42:X42"/>
    <mergeCell ref="Y42:Z42"/>
    <mergeCell ref="W29:Y29"/>
    <mergeCell ref="Z29:AC29"/>
    <mergeCell ref="AD29:AG29"/>
    <mergeCell ref="W25:Y27"/>
    <mergeCell ref="T25:V27"/>
    <mergeCell ref="M41:R41"/>
    <mergeCell ref="AE25:AG25"/>
    <mergeCell ref="L25:N25"/>
    <mergeCell ref="L29:N29"/>
    <mergeCell ref="M42:R42"/>
    <mergeCell ref="S42:U42"/>
    <mergeCell ref="D29:I29"/>
    <mergeCell ref="D31:I31"/>
    <mergeCell ref="O27:R27"/>
    <mergeCell ref="O28:R28"/>
    <mergeCell ref="O29:R29"/>
    <mergeCell ref="D27:I27"/>
    <mergeCell ref="T29:V29"/>
    <mergeCell ref="AI9:AK9"/>
    <mergeCell ref="AI10:AK11"/>
    <mergeCell ref="V11:X11"/>
    <mergeCell ref="V12:X12"/>
    <mergeCell ref="T14:AH14"/>
    <mergeCell ref="V9:X9"/>
    <mergeCell ref="AI12:AK18"/>
    <mergeCell ref="AD11:AF11"/>
    <mergeCell ref="V16:X16"/>
    <mergeCell ref="AD18:AF18"/>
    <mergeCell ref="AD10:AF10"/>
    <mergeCell ref="AD12:AF12"/>
    <mergeCell ref="AD16:AF16"/>
    <mergeCell ref="AD17:AF17"/>
    <mergeCell ref="V10:X10"/>
    <mergeCell ref="V17:X17"/>
    <mergeCell ref="V18:X18"/>
    <mergeCell ref="V15:X15"/>
    <mergeCell ref="AD15:AF15"/>
    <mergeCell ref="AD9:AF9"/>
    <mergeCell ref="E10:H10"/>
    <mergeCell ref="N12:P12"/>
    <mergeCell ref="E17:H17"/>
    <mergeCell ref="N17:P17"/>
    <mergeCell ref="E16:H16"/>
    <mergeCell ref="V5:W5"/>
    <mergeCell ref="Y5:AA5"/>
    <mergeCell ref="N15:P15"/>
    <mergeCell ref="N16:P16"/>
    <mergeCell ref="C14:R14"/>
    <mergeCell ref="E11:H11"/>
    <mergeCell ref="E12:H12"/>
    <mergeCell ref="N11:P11"/>
    <mergeCell ref="V8:X8"/>
    <mergeCell ref="AD8:AF8"/>
    <mergeCell ref="E18:H18"/>
    <mergeCell ref="E15:H15"/>
    <mergeCell ref="N18:P18"/>
    <mergeCell ref="D25:I25"/>
    <mergeCell ref="E19:H19"/>
    <mergeCell ref="N8:P8"/>
    <mergeCell ref="N9:P9"/>
    <mergeCell ref="P3:Q3"/>
    <mergeCell ref="N10:P10"/>
    <mergeCell ref="I3:K3"/>
    <mergeCell ref="M3:O3"/>
    <mergeCell ref="E8:H8"/>
    <mergeCell ref="E9:H9"/>
    <mergeCell ref="C6:R6"/>
    <mergeCell ref="C7:J7"/>
    <mergeCell ref="M7:R7"/>
    <mergeCell ref="G5:O5"/>
    <mergeCell ref="P5:Q5"/>
    <mergeCell ref="R5:U5"/>
    <mergeCell ref="U7:Z7"/>
    <mergeCell ref="D4:E4"/>
    <mergeCell ref="F4:H4"/>
    <mergeCell ref="I4:K4"/>
    <mergeCell ref="U6:AH6"/>
    <mergeCell ref="F1:H1"/>
    <mergeCell ref="AC7:AH7"/>
    <mergeCell ref="AC4:AD4"/>
    <mergeCell ref="AC5:AD5"/>
    <mergeCell ref="AF3:AH3"/>
    <mergeCell ref="M4:O4"/>
    <mergeCell ref="P4:Q4"/>
    <mergeCell ref="R4:U4"/>
    <mergeCell ref="V4:W4"/>
    <mergeCell ref="D5:F5"/>
    <mergeCell ref="AF2:AH2"/>
    <mergeCell ref="I2:K2"/>
    <mergeCell ref="D1:E1"/>
    <mergeCell ref="C3:E3"/>
    <mergeCell ref="F3:H3"/>
    <mergeCell ref="D2:E2"/>
    <mergeCell ref="F2:H2"/>
    <mergeCell ref="R3:U3"/>
    <mergeCell ref="V3:W3"/>
    <mergeCell ref="M2:O2"/>
    <mergeCell ref="AI1:AJ1"/>
    <mergeCell ref="Y2:AA2"/>
    <mergeCell ref="AC2:AD2"/>
    <mergeCell ref="AI2:AJ2"/>
    <mergeCell ref="Y3:AA3"/>
    <mergeCell ref="AI3:AJ3"/>
    <mergeCell ref="Y4:AA4"/>
    <mergeCell ref="AF4:AJ4"/>
    <mergeCell ref="I1:K1"/>
    <mergeCell ref="M1:O1"/>
    <mergeCell ref="V1:W1"/>
    <mergeCell ref="AF1:AH1"/>
    <mergeCell ref="AC1:AD1"/>
    <mergeCell ref="V2:W2"/>
    <mergeCell ref="R1:U1"/>
    <mergeCell ref="P2:Q2"/>
    <mergeCell ref="P1:Q1"/>
    <mergeCell ref="R2:U2"/>
    <mergeCell ref="AC3:AD3"/>
    <mergeCell ref="Y1:AA1"/>
  </mergeCells>
  <conditionalFormatting sqref="C6:R6">
    <cfRule type="expression" dxfId="31" priority="12">
      <formula>$F$2="مستنفذ"</formula>
    </cfRule>
  </conditionalFormatting>
  <conditionalFormatting sqref="C7:R7 C8:C12 I8:L12 Q8:R12 T8:T12 Y8:AB12 AG8:AH12 L8:L13 C13:R14 T13:AH14 C15:C19 I15:L19 Q15:R19 T15:T19 Y15:AB19 AG15:AH19 G20:J20">
    <cfRule type="expression" dxfId="30" priority="6">
      <formula>$F$2="مستنفذ"</formula>
    </cfRule>
  </conditionalFormatting>
  <conditionalFormatting sqref="C7:AH19">
    <cfRule type="expression" dxfId="29" priority="1">
      <formula>$F$2="معاقب"</formula>
    </cfRule>
  </conditionalFormatting>
  <conditionalFormatting sqref="C6:AK6">
    <cfRule type="expression" dxfId="28" priority="2">
      <formula>$F$2="معاقب"</formula>
    </cfRule>
  </conditionalFormatting>
  <conditionalFormatting sqref="O20:R20">
    <cfRule type="expression" dxfId="27" priority="5">
      <formula>$F$2="مستنفذ"</formula>
    </cfRule>
  </conditionalFormatting>
  <conditionalFormatting sqref="T6:AH7">
    <cfRule type="expression" dxfId="26" priority="11">
      <formula>$F$2="مستنفذ"</formula>
    </cfRule>
  </conditionalFormatting>
  <conditionalFormatting sqref="W20:Z20">
    <cfRule type="expression" dxfId="25" priority="4">
      <formula>$F$2="مستنفذ"</formula>
    </cfRule>
  </conditionalFormatting>
  <conditionalFormatting sqref="AE20:AH20">
    <cfRule type="expression" dxfId="24" priority="3">
      <formula>$F$2="مستنفذ"</formula>
    </cfRule>
  </conditionalFormatting>
  <dataValidations count="5">
    <dataValidation type="list" allowBlank="1" showInputMessage="1" showErrorMessage="1" sqref="W28" xr:uid="{00000000-0002-0000-0200-000000000000}">
      <formula1>$BD$4:$BD$5</formula1>
    </dataValidation>
    <dataValidation type="list" allowBlank="1" showInputMessage="1" showErrorMessage="1" sqref="G5:O5" xr:uid="{00000000-0002-0000-0200-000001000000}">
      <formula1>$AP$1:$AP$9</formula1>
    </dataValidation>
    <dataValidation type="custom" errorStyle="information"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AG8:AG12 AG15:AG19 Y15:Y19 Y8:Y12 Q8:Q12 Q15:Q19 I15:I19 I10:I12 I8" xr:uid="{00000000-0002-0000-0200-000002000000}">
      <formula1>AND($AL$2=0,$AH$29&lt;=14,I8=1)</formula1>
    </dataValidation>
    <dataValidation type="custom" errorStyle="information"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أو أنك قد تجاوزت عدد المقررات المسموح تسجيلها_x000a_" sqref="I9" xr:uid="{00000000-0002-0000-0200-000003000000}">
      <formula1>AND($AH$29&lt;=14,I9=1)</formula1>
    </dataValidation>
    <dataValidation type="list" allowBlank="1" showInputMessage="1" showErrorMessage="1" sqref="J8:J12 J15:J19 R8:R12 R15:R19 Z8:Z12 Z15:Z19 AH8:AH12 AH15:AH19" xr:uid="{60D36DA7-DA0B-485E-9604-5FDDBA7E810B}">
      <formula1>$AF$36:$AF$38</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ورقة8"/>
  <dimension ref="B1:AQ44"/>
  <sheetViews>
    <sheetView rightToLeft="1" zoomScale="90" zoomScaleNormal="90" workbookViewId="0">
      <selection activeCell="AI1" sqref="AI1:AJ1048576"/>
    </sheetView>
  </sheetViews>
  <sheetFormatPr defaultColWidth="9" defaultRowHeight="13.2" x14ac:dyDescent="0.25"/>
  <cols>
    <col min="1" max="1" width="2.19921875" style="121" customWidth="1"/>
    <col min="2" max="2" width="5.09765625" style="121" customWidth="1"/>
    <col min="3" max="3" width="5.69921875" style="121" bestFit="1" customWidth="1"/>
    <col min="4" max="4" width="4.09765625" style="121" customWidth="1"/>
    <col min="5" max="5" width="8" style="121" customWidth="1"/>
    <col min="6" max="6" width="7.09765625" style="121" customWidth="1"/>
    <col min="7" max="7" width="4.69921875" style="121" customWidth="1"/>
    <col min="8" max="9" width="5.19921875" style="121" customWidth="1"/>
    <col min="10" max="10" width="9.8984375" style="121" bestFit="1" customWidth="1"/>
    <col min="11" max="11" width="5.8984375" style="121" customWidth="1"/>
    <col min="12" max="12" width="3.19921875" style="121" customWidth="1"/>
    <col min="13" max="13" width="7.09765625" style="121" customWidth="1"/>
    <col min="14" max="14" width="8.19921875" style="121" customWidth="1"/>
    <col min="15" max="15" width="7.09765625" style="121" customWidth="1"/>
    <col min="16" max="16" width="5.19921875" style="121" customWidth="1"/>
    <col min="17" max="17" width="4.69921875" style="121" customWidth="1"/>
    <col min="18" max="18" width="7.8984375" style="121" customWidth="1"/>
    <col min="19" max="19" width="9" style="121" hidden="1" customWidth="1"/>
    <col min="20" max="20" width="6.69921875" style="121" hidden="1" customWidth="1"/>
    <col min="21" max="21" width="8.19921875" style="121" hidden="1" customWidth="1"/>
    <col min="22" max="22" width="3.19921875" style="121" hidden="1" customWidth="1"/>
    <col min="23" max="23" width="8.8984375" style="121" hidden="1" customWidth="1"/>
    <col min="24" max="24" width="3.19921875" style="121" hidden="1" customWidth="1"/>
    <col min="25" max="25" width="5.69921875" style="121" hidden="1" customWidth="1"/>
    <col min="26" max="28" width="8.8984375" style="121" hidden="1" customWidth="1"/>
    <col min="29" max="34" width="12.19921875" style="121" hidden="1" customWidth="1"/>
    <col min="35" max="35" width="12.19921875" style="220" hidden="1" customWidth="1"/>
    <col min="36" max="36" width="8.8984375" style="121" hidden="1" customWidth="1"/>
    <col min="37" max="42" width="8.8984375" style="121" customWidth="1"/>
    <col min="43" max="43" width="57.09765625" style="121" hidden="1" customWidth="1"/>
    <col min="44" max="44" width="9" style="121" customWidth="1"/>
    <col min="45" max="16384" width="9" style="121"/>
  </cols>
  <sheetData>
    <row r="1" spans="2:43" ht="14.4" thickTop="1" thickBot="1" x14ac:dyDescent="0.3">
      <c r="B1" s="474">
        <f ca="1">NOW()</f>
        <v>45728.499496296296</v>
      </c>
      <c r="C1" s="474"/>
      <c r="D1" s="474"/>
      <c r="E1" s="474"/>
      <c r="F1" s="483" t="s">
        <v>285</v>
      </c>
      <c r="G1" s="483"/>
      <c r="H1" s="483"/>
      <c r="I1" s="483"/>
      <c r="J1" s="483"/>
      <c r="K1" s="483"/>
      <c r="L1" s="483"/>
      <c r="M1" s="483"/>
      <c r="N1" s="483"/>
      <c r="O1" s="483"/>
      <c r="P1" s="483"/>
      <c r="Q1" s="483"/>
      <c r="R1" s="483"/>
      <c r="T1" s="122" t="b">
        <f>IF(AND(I12="A",H12=1),35000,IF(OR(I12="ج",I12="ر1",I12="ر2"),IF(H12=1,IF(OR($E$22=$AQ$8,$E$22=$AQ$9),0,IF($E$22=$AQ$2,IF(I12="ج",4000,IF(I12="ر1",5200,IF(I12="ر2",6000,""))),IF(OR($E$22=$AQ$3,$E$22=$AQ$7),IF(I12="ج",2500,IF(I12="ر1",3250,IF(I12="ر2",3750,""))),IF($E$22=$AQ$4,500,IF(OR($E$22=$AQ$1,$E$22=$AQ$5,$E$22=$AQ$6),IF(I12="ج",4000,IF(I12="ر1",5500,IF(I12="ر2",6500,""))),IF(I12="ج",5000,IF(I12="ر1",6500,IF(I12="ر2",7500,"")))))))))))</f>
        <v>0</v>
      </c>
      <c r="AC1" s="123"/>
      <c r="AD1" s="464" t="str">
        <f>IF(AJ1&gt;0,"يجب عليك ادخال البيانات المطلوبة أدناه بالمعلومات الصحيحة في صفحة إدخال البيانات لتتمكن من طباعة استمارة المقررات بشكل صحيح","")</f>
        <v/>
      </c>
      <c r="AE1" s="465"/>
      <c r="AF1" s="465"/>
      <c r="AG1" s="465"/>
      <c r="AH1" s="466"/>
      <c r="AI1" s="219"/>
      <c r="AJ1" s="151">
        <v>0</v>
      </c>
      <c r="AQ1" s="125" t="s">
        <v>72</v>
      </c>
    </row>
    <row r="2" spans="2:43" ht="17.25" customHeight="1" thickTop="1" thickBot="1" x14ac:dyDescent="0.3">
      <c r="B2" s="475" t="s">
        <v>190</v>
      </c>
      <c r="C2" s="476"/>
      <c r="D2" s="477">
        <f>'اختيار المقررات'!F1</f>
        <v>0</v>
      </c>
      <c r="E2" s="477"/>
      <c r="F2" s="478" t="s">
        <v>3</v>
      </c>
      <c r="G2" s="478"/>
      <c r="H2" s="479">
        <f>'اختيار المقررات'!M1</f>
        <v>0</v>
      </c>
      <c r="I2" s="479"/>
      <c r="J2" s="479"/>
      <c r="K2" s="478" t="s">
        <v>4</v>
      </c>
      <c r="L2" s="478"/>
      <c r="M2" s="480">
        <f>'اختيار المقررات'!R1</f>
        <v>0</v>
      </c>
      <c r="N2" s="480"/>
      <c r="O2" s="144" t="s">
        <v>5</v>
      </c>
      <c r="P2" s="480">
        <f>'اختيار المقررات'!X1</f>
        <v>0</v>
      </c>
      <c r="Q2" s="480"/>
      <c r="R2" s="484"/>
      <c r="T2" s="122" t="b">
        <f>IF(AND(I13="A",H13=1),35000,IF(OR(I13="ج",I13="ر1",I13="ر2"),IF(H13=1,IF(OR($E$22=$AQ$8,$E$22=$AQ$9),0,IF($E$22=$AQ$2,IF(I13="ج",4000,IF(I13="ر1",5200,IF(I13="ر2",6000,""))),IF(OR($E$22=$AQ$3,$E$22=$AQ$7),IF(I13="ج",2500,IF(I13="ر1",3250,IF(I13="ر2",3750,""))),IF($E$22=$AQ$4,500,IF(OR($E$22=$AQ$1,$E$22=$AQ$5,$E$22=$AQ$6),IF(I13="ج",4000,IF(I13="ر1",5500,IF(I13="ر2",6500,""))),IF(I13="ج",5000,IF(I13="ر1",6500,IF(I13="ر2",7500,"")))))))))))</f>
        <v>0</v>
      </c>
      <c r="AC2" s="123"/>
      <c r="AD2" s="467"/>
      <c r="AE2" s="468"/>
      <c r="AF2" s="468"/>
      <c r="AG2" s="468"/>
      <c r="AH2" s="469"/>
      <c r="AI2" s="222" t="s">
        <v>286</v>
      </c>
      <c r="AQ2" s="126" t="s">
        <v>73</v>
      </c>
    </row>
    <row r="3" spans="2:43" ht="18.75" customHeight="1" thickTop="1" thickBot="1" x14ac:dyDescent="0.3">
      <c r="B3" s="481" t="s">
        <v>191</v>
      </c>
      <c r="C3" s="482"/>
      <c r="D3" s="472">
        <f>'اختيار المقررات'!F2</f>
        <v>0</v>
      </c>
      <c r="E3" s="472"/>
      <c r="F3" s="470"/>
      <c r="G3" s="470"/>
      <c r="H3" s="485"/>
      <c r="I3" s="485"/>
      <c r="J3" s="470"/>
      <c r="K3" s="470"/>
      <c r="L3" s="470"/>
      <c r="M3" s="146"/>
      <c r="N3" s="472"/>
      <c r="O3" s="472"/>
      <c r="P3" s="472"/>
      <c r="Q3" s="497"/>
      <c r="R3" s="498"/>
      <c r="X3" s="121">
        <v>1</v>
      </c>
      <c r="Y3" s="121">
        <f>IF(Z3&lt;&gt;"",X3,"")</f>
        <v>1</v>
      </c>
      <c r="Z3" s="121" t="str">
        <f>IF(LEN(M2)&lt;2,K2,"")</f>
        <v>اسم الاب:</v>
      </c>
      <c r="AA3" s="121">
        <f>IFERROR(SMALL($Y$3:$Y$22,X3),"")</f>
        <v>1</v>
      </c>
      <c r="AC3" s="124"/>
      <c r="AD3" s="124"/>
      <c r="AE3" s="435" t="str">
        <f>IFERROR(VLOOKUP(AA3,$X$3:$Z$22,3,0),"")</f>
        <v>اسم الاب:</v>
      </c>
      <c r="AF3" s="435"/>
      <c r="AG3" s="435"/>
      <c r="AH3" s="124"/>
      <c r="AI3" s="221"/>
      <c r="AQ3" s="126" t="s">
        <v>45</v>
      </c>
    </row>
    <row r="4" spans="2:43" ht="14.4" thickTop="1" thickBot="1" x14ac:dyDescent="0.3">
      <c r="B4" s="481" t="s">
        <v>192</v>
      </c>
      <c r="C4" s="482"/>
      <c r="D4" s="470">
        <f>'اختيار المقررات'!F3</f>
        <v>0</v>
      </c>
      <c r="E4" s="470"/>
      <c r="F4" s="471" t="s">
        <v>193</v>
      </c>
      <c r="G4" s="471"/>
      <c r="H4" s="473">
        <f>'اختيار المقررات'!AC1</f>
        <v>0</v>
      </c>
      <c r="I4" s="473"/>
      <c r="J4" s="147" t="s">
        <v>194</v>
      </c>
      <c r="K4" s="470">
        <f>'اختيار المقررات'!AF1</f>
        <v>0</v>
      </c>
      <c r="L4" s="470"/>
      <c r="M4" s="470"/>
      <c r="N4" s="472"/>
      <c r="O4" s="472"/>
      <c r="P4" s="472"/>
      <c r="Q4" s="485"/>
      <c r="R4" s="499"/>
      <c r="X4" s="121">
        <v>2</v>
      </c>
      <c r="Y4" s="121">
        <f t="shared" ref="Y4:Y22" si="0">IF(Z4&lt;&gt;"",X4,"")</f>
        <v>2</v>
      </c>
      <c r="Z4" s="121" t="str">
        <f>IF(LEN(P2)&lt;2,O2,"")</f>
        <v>اسم الام:</v>
      </c>
      <c r="AA4" s="121">
        <f t="shared" ref="AA4:AA21" si="1">IFERROR(SMALL($Y$3:$Y$22,X4),"")</f>
        <v>2</v>
      </c>
      <c r="AC4" s="124"/>
      <c r="AD4" s="124"/>
      <c r="AE4" s="435" t="str">
        <f t="shared" ref="AE4:AE22" si="2">IFERROR(VLOOKUP(AA4,$X$3:$Z$22,3,0),"")</f>
        <v>اسم الام:</v>
      </c>
      <c r="AF4" s="435"/>
      <c r="AG4" s="435"/>
      <c r="AH4" s="124"/>
      <c r="AQ4" s="127" t="s">
        <v>57</v>
      </c>
    </row>
    <row r="5" spans="2:43" ht="15.75" customHeight="1" thickTop="1" thickBot="1" x14ac:dyDescent="0.3">
      <c r="B5" s="481" t="s">
        <v>195</v>
      </c>
      <c r="C5" s="482"/>
      <c r="D5" s="470">
        <f>'اختيار المقررات'!M3</f>
        <v>0</v>
      </c>
      <c r="E5" s="470"/>
      <c r="F5" s="482" t="s">
        <v>196</v>
      </c>
      <c r="G5" s="482"/>
      <c r="H5" s="472">
        <f>'اختيار المقررات'!R3</f>
        <v>0</v>
      </c>
      <c r="I5" s="472"/>
      <c r="J5" s="147" t="s">
        <v>197</v>
      </c>
      <c r="K5" s="472">
        <f>'اختيار المقررات'!AC3</f>
        <v>0</v>
      </c>
      <c r="L5" s="472"/>
      <c r="M5" s="472"/>
      <c r="N5" s="482" t="s">
        <v>198</v>
      </c>
      <c r="O5" s="482"/>
      <c r="P5" s="470" t="str">
        <f>'اختيار المقررات'!X3</f>
        <v>غير سوري</v>
      </c>
      <c r="Q5" s="470"/>
      <c r="R5" s="488"/>
      <c r="X5" s="121">
        <v>3</v>
      </c>
      <c r="Y5" s="121">
        <f t="shared" si="0"/>
        <v>3</v>
      </c>
      <c r="Z5" s="121">
        <f>IF(LEN(N3)&lt;2,Q3,"")</f>
        <v>0</v>
      </c>
      <c r="AA5" s="121">
        <f t="shared" si="1"/>
        <v>3</v>
      </c>
      <c r="AC5" s="124"/>
      <c r="AD5" s="124"/>
      <c r="AE5" s="435">
        <f t="shared" si="2"/>
        <v>0</v>
      </c>
      <c r="AF5" s="435"/>
      <c r="AG5" s="435"/>
      <c r="AH5" s="124"/>
      <c r="AQ5" s="126" t="s">
        <v>141</v>
      </c>
    </row>
    <row r="6" spans="2:43" ht="15.75" customHeight="1" thickTop="1" thickBot="1" x14ac:dyDescent="0.3">
      <c r="B6" s="491" t="s">
        <v>199</v>
      </c>
      <c r="C6" s="471"/>
      <c r="D6" s="470">
        <f>'اختيار المقررات'!AF3</f>
        <v>0</v>
      </c>
      <c r="E6" s="470"/>
      <c r="F6" s="471" t="s">
        <v>200</v>
      </c>
      <c r="G6" s="471"/>
      <c r="H6" s="470">
        <f>'اختيار المقررات'!F4</f>
        <v>0</v>
      </c>
      <c r="I6" s="470"/>
      <c r="J6" s="145" t="s">
        <v>201</v>
      </c>
      <c r="K6" s="472">
        <f>'اختيار المقررات'!R4</f>
        <v>0</v>
      </c>
      <c r="L6" s="472"/>
      <c r="M6" s="472"/>
      <c r="N6" s="471" t="s">
        <v>202</v>
      </c>
      <c r="O6" s="471"/>
      <c r="P6" s="470">
        <f>'اختيار المقررات'!M4</f>
        <v>0</v>
      </c>
      <c r="Q6" s="470"/>
      <c r="R6" s="488"/>
      <c r="X6" s="121">
        <v>4</v>
      </c>
      <c r="Y6" s="121">
        <f t="shared" si="0"/>
        <v>4</v>
      </c>
      <c r="Z6" s="121">
        <f>IF(LEN(J3)&lt;2,M3,"")</f>
        <v>0</v>
      </c>
      <c r="AA6" s="121">
        <f t="shared" si="1"/>
        <v>4</v>
      </c>
      <c r="AC6" s="124"/>
      <c r="AD6" s="124"/>
      <c r="AE6" s="435">
        <f t="shared" si="2"/>
        <v>0</v>
      </c>
      <c r="AF6" s="435"/>
      <c r="AG6" s="435"/>
      <c r="AH6" s="124"/>
      <c r="AQ6" s="126" t="s">
        <v>142</v>
      </c>
    </row>
    <row r="7" spans="2:43" ht="15" customHeight="1" thickTop="1" thickBot="1" x14ac:dyDescent="0.3">
      <c r="B7" s="489" t="s">
        <v>203</v>
      </c>
      <c r="C7" s="490"/>
      <c r="D7" s="492">
        <f>'اختيار المقررات'!X4</f>
        <v>0</v>
      </c>
      <c r="E7" s="493"/>
      <c r="F7" s="490" t="s">
        <v>204</v>
      </c>
      <c r="G7" s="490"/>
      <c r="H7" s="494">
        <f>'اختيار المقررات'!AC4</f>
        <v>0</v>
      </c>
      <c r="I7" s="495"/>
      <c r="J7" s="148" t="s">
        <v>67</v>
      </c>
      <c r="K7" s="493">
        <f>'اختيار المقررات'!AF4</f>
        <v>0</v>
      </c>
      <c r="L7" s="493"/>
      <c r="M7" s="493"/>
      <c r="N7" s="493"/>
      <c r="O7" s="493"/>
      <c r="P7" s="493"/>
      <c r="Q7" s="493"/>
      <c r="R7" s="496"/>
      <c r="X7" s="121">
        <v>5</v>
      </c>
      <c r="Y7" s="121">
        <f t="shared" si="0"/>
        <v>5</v>
      </c>
      <c r="Z7" s="121">
        <f>IF(LEN(F3)&lt;2,H3,"")</f>
        <v>0</v>
      </c>
      <c r="AA7" s="121">
        <f t="shared" si="1"/>
        <v>5</v>
      </c>
      <c r="AC7" s="124"/>
      <c r="AD7" s="124"/>
      <c r="AE7" s="435">
        <f t="shared" si="2"/>
        <v>0</v>
      </c>
      <c r="AF7" s="435"/>
      <c r="AG7" s="435"/>
      <c r="AH7" s="124"/>
      <c r="AQ7" s="126" t="s">
        <v>74</v>
      </c>
    </row>
    <row r="8" spans="2:43" ht="19.95" customHeight="1" thickTop="1" thickBot="1" x14ac:dyDescent="0.3">
      <c r="B8" s="486" t="str">
        <f>IF('اختيار المقررات'!F2="مستنفذ",'اختيار المقررات'!C6,IF(AD1&lt;&gt;"",AD1,AI2))</f>
        <v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v>
      </c>
      <c r="C8" s="486"/>
      <c r="D8" s="486"/>
      <c r="E8" s="486"/>
      <c r="F8" s="486"/>
      <c r="G8" s="486"/>
      <c r="H8" s="486"/>
      <c r="I8" s="486"/>
      <c r="J8" s="486"/>
      <c r="K8" s="486"/>
      <c r="L8" s="486"/>
      <c r="M8" s="486"/>
      <c r="N8" s="486"/>
      <c r="O8" s="486"/>
      <c r="P8" s="486"/>
      <c r="Q8" s="486"/>
      <c r="R8" s="486"/>
      <c r="X8" s="121">
        <v>6</v>
      </c>
      <c r="Y8" s="121">
        <f>IF(Z8&lt;&gt;"",X8,"")</f>
        <v>6</v>
      </c>
      <c r="Z8" s="121" t="str">
        <f>IF(LEN(D4)&lt;2,B4,"")</f>
        <v>الجنس:</v>
      </c>
      <c r="AA8" s="121">
        <f t="shared" si="1"/>
        <v>6</v>
      </c>
      <c r="AC8" s="124"/>
      <c r="AD8" s="124"/>
      <c r="AE8" s="435" t="str">
        <f t="shared" si="2"/>
        <v>الجنس:</v>
      </c>
      <c r="AF8" s="435"/>
      <c r="AG8" s="435"/>
      <c r="AH8" s="124"/>
      <c r="AQ8" s="126" t="s">
        <v>8</v>
      </c>
    </row>
    <row r="9" spans="2:43" ht="19.95" customHeight="1" thickTop="1" thickBot="1" x14ac:dyDescent="0.3">
      <c r="B9" s="487"/>
      <c r="C9" s="487"/>
      <c r="D9" s="487"/>
      <c r="E9" s="487"/>
      <c r="F9" s="487"/>
      <c r="G9" s="487"/>
      <c r="H9" s="487"/>
      <c r="I9" s="487"/>
      <c r="J9" s="487"/>
      <c r="K9" s="487"/>
      <c r="L9" s="487"/>
      <c r="M9" s="487"/>
      <c r="N9" s="487"/>
      <c r="O9" s="487"/>
      <c r="P9" s="487"/>
      <c r="Q9" s="487"/>
      <c r="R9" s="487"/>
      <c r="S9" s="127"/>
      <c r="T9" s="127"/>
      <c r="U9" s="127"/>
      <c r="X9" s="121">
        <v>7</v>
      </c>
      <c r="Y9" s="121">
        <f t="shared" si="0"/>
        <v>7</v>
      </c>
      <c r="Z9" s="121" t="str">
        <f>IF(LEN(H4)&lt;2,F4,"")</f>
        <v>تاريخ الميلاد:</v>
      </c>
      <c r="AA9" s="121">
        <f t="shared" si="1"/>
        <v>7</v>
      </c>
      <c r="AC9" s="124"/>
      <c r="AD9" s="124"/>
      <c r="AE9" s="435" t="str">
        <f t="shared" si="2"/>
        <v>تاريخ الميلاد:</v>
      </c>
      <c r="AF9" s="435"/>
      <c r="AG9" s="435"/>
      <c r="AH9" s="124"/>
      <c r="AQ9" s="121" t="s">
        <v>15</v>
      </c>
    </row>
    <row r="10" spans="2:43" ht="19.95" customHeight="1" thickTop="1" thickBot="1" x14ac:dyDescent="0.3">
      <c r="B10" s="487"/>
      <c r="C10" s="487"/>
      <c r="D10" s="487"/>
      <c r="E10" s="487"/>
      <c r="F10" s="487"/>
      <c r="G10" s="487"/>
      <c r="H10" s="487"/>
      <c r="I10" s="487"/>
      <c r="J10" s="487"/>
      <c r="K10" s="487"/>
      <c r="L10" s="487"/>
      <c r="M10" s="487"/>
      <c r="N10" s="487"/>
      <c r="O10" s="487"/>
      <c r="P10" s="487"/>
      <c r="Q10" s="487"/>
      <c r="R10" s="487"/>
      <c r="S10" s="127"/>
      <c r="T10" s="127"/>
      <c r="U10" s="127"/>
      <c r="X10" s="121">
        <v>8</v>
      </c>
      <c r="Y10" s="121">
        <f t="shared" si="0"/>
        <v>8</v>
      </c>
      <c r="Z10" s="121" t="str">
        <f>IF(LEN(K4)&lt;2,J4,"")</f>
        <v>مكان الميلاد:</v>
      </c>
      <c r="AA10" s="121">
        <f t="shared" si="1"/>
        <v>8</v>
      </c>
      <c r="AC10" s="124"/>
      <c r="AD10" s="124"/>
      <c r="AE10" s="435" t="str">
        <f t="shared" si="2"/>
        <v>مكان الميلاد:</v>
      </c>
      <c r="AF10" s="435"/>
      <c r="AG10" s="435"/>
      <c r="AH10" s="124"/>
    </row>
    <row r="11" spans="2:43" ht="24" customHeight="1" thickTop="1" thickBot="1" x14ac:dyDescent="0.3">
      <c r="B11" s="128"/>
      <c r="C11" s="120" t="s">
        <v>28</v>
      </c>
      <c r="D11" s="506" t="s">
        <v>29</v>
      </c>
      <c r="E11" s="507"/>
      <c r="F11" s="507"/>
      <c r="G11" s="508"/>
      <c r="H11" s="130"/>
      <c r="I11" s="131"/>
      <c r="J11" s="128"/>
      <c r="K11" s="129" t="s">
        <v>28</v>
      </c>
      <c r="L11" s="506" t="s">
        <v>29</v>
      </c>
      <c r="M11" s="507"/>
      <c r="N11" s="507"/>
      <c r="O11" s="508"/>
      <c r="P11" s="130"/>
      <c r="Q11" s="132"/>
      <c r="R11" s="133"/>
      <c r="S11" s="134"/>
      <c r="T11" s="134"/>
      <c r="U11" s="135"/>
      <c r="V11" s="121" t="str">
        <f>IFERROR(SMALL('اختيار المقررات'!$AM$8:$AM$56,'اختيار المقررات'!AN8),"")</f>
        <v/>
      </c>
      <c r="X11" s="121">
        <v>9</v>
      </c>
      <c r="Y11" s="121">
        <f t="shared" si="0"/>
        <v>9</v>
      </c>
      <c r="Z11" s="121">
        <f>IF(LEN(N4)&lt;2,Q4,"")</f>
        <v>0</v>
      </c>
      <c r="AA11" s="121">
        <f t="shared" si="1"/>
        <v>9</v>
      </c>
      <c r="AC11" s="124"/>
      <c r="AD11" s="124"/>
      <c r="AE11" s="435">
        <f t="shared" si="2"/>
        <v>0</v>
      </c>
      <c r="AF11" s="435"/>
      <c r="AG11" s="435"/>
      <c r="AH11" s="124"/>
    </row>
    <row r="12" spans="2:43" ht="15.6" customHeight="1" thickTop="1" thickBot="1" x14ac:dyDescent="0.3">
      <c r="B12" s="136" t="str">
        <f t="shared" ref="B12:B18" si="3">IF($AJ$1&gt;0,"",V11)</f>
        <v/>
      </c>
      <c r="C12" s="152" t="str">
        <f>IFERROR(VLOOKUP(B12,'اختيار المقررات'!AV5:BQ53,2,0),"")</f>
        <v/>
      </c>
      <c r="D12" s="460" t="str">
        <f>IFERROR(VLOOKUP(B12,'اختيار المقررات'!AV5:BQ53,3,0),"")</f>
        <v/>
      </c>
      <c r="E12" s="460"/>
      <c r="F12" s="460"/>
      <c r="G12" s="460"/>
      <c r="H12" s="137" t="str">
        <f>IFERROR(VLOOKUP(B12,'اختيار المقررات'!AV5:BQ53,4,0),"")</f>
        <v/>
      </c>
      <c r="I12" s="138" t="str">
        <f>IFERROR(VLOOKUP(B12,'اختيار المقررات'!AV5:BQ53,5,0),"")</f>
        <v/>
      </c>
      <c r="J12" s="136" t="str">
        <f>IF($AJ$1&gt;0,"",V18)</f>
        <v/>
      </c>
      <c r="K12" s="152" t="str">
        <f>IFERROR(VLOOKUP(J12,'اختيار المقررات'!AV5:BQ53,2,0),"")</f>
        <v/>
      </c>
      <c r="L12" s="460" t="str">
        <f>IFERROR(VLOOKUP(J12,'اختيار المقررات'!AV5:BQ53,3,0),"")</f>
        <v/>
      </c>
      <c r="M12" s="460"/>
      <c r="N12" s="460"/>
      <c r="O12" s="460"/>
      <c r="P12" s="137" t="str">
        <f>IFERROR(VLOOKUP(J12,'اختيار المقررات'!AV5:BQ53,4,0),"")</f>
        <v/>
      </c>
      <c r="Q12" s="138" t="str">
        <f>IFERROR(VLOOKUP(J12,'اختيار المقررات'!AV5:BQ53,5,0),"")</f>
        <v/>
      </c>
      <c r="R12" s="139"/>
      <c r="T12" s="140"/>
      <c r="V12" s="121" t="str">
        <f>IFERROR(SMALL('اختيار المقررات'!$AM$8:$AM$56,'اختيار المقررات'!AN9),"")</f>
        <v/>
      </c>
      <c r="X12" s="121">
        <v>10</v>
      </c>
      <c r="Y12" s="121">
        <f t="shared" si="0"/>
        <v>10</v>
      </c>
      <c r="Z12" s="121" t="str">
        <f>IF(LEN(D5)&lt;2,B5,"")</f>
        <v>الجنسية:</v>
      </c>
      <c r="AA12" s="121">
        <f t="shared" si="1"/>
        <v>10</v>
      </c>
      <c r="AC12" s="124"/>
      <c r="AD12" s="124"/>
      <c r="AE12" s="435" t="str">
        <f t="shared" si="2"/>
        <v>الجنسية:</v>
      </c>
      <c r="AF12" s="435"/>
      <c r="AG12" s="435"/>
      <c r="AH12" s="124"/>
    </row>
    <row r="13" spans="2:43" ht="15.6" customHeight="1" thickTop="1" thickBot="1" x14ac:dyDescent="0.3">
      <c r="B13" s="136" t="str">
        <f t="shared" si="3"/>
        <v/>
      </c>
      <c r="C13" s="152" t="str">
        <f>IFERROR(VLOOKUP(B13,'اختيار المقررات'!AV6:BQ54,2,0),"")</f>
        <v/>
      </c>
      <c r="D13" s="460" t="str">
        <f>IFERROR(VLOOKUP(B13,'اختيار المقررات'!AV6:BQ54,3,0),"")</f>
        <v/>
      </c>
      <c r="E13" s="460"/>
      <c r="F13" s="460"/>
      <c r="G13" s="460"/>
      <c r="H13" s="137" t="str">
        <f>IFERROR(VLOOKUP(B13,'اختيار المقررات'!AV6:BQ54,4,0),"")</f>
        <v/>
      </c>
      <c r="I13" s="138" t="str">
        <f>IFERROR(VLOOKUP(B13,'اختيار المقررات'!AV6:BQ54,5,0),"")</f>
        <v/>
      </c>
      <c r="J13" s="136" t="str">
        <f t="shared" ref="J13:J18" si="4">IF($AJ$1&gt;0,"",V19)</f>
        <v/>
      </c>
      <c r="K13" s="152" t="str">
        <f>IFERROR(VLOOKUP(J13,'اختيار المقررات'!AV6:BQ54,2,0),"")</f>
        <v/>
      </c>
      <c r="L13" s="460" t="str">
        <f>IFERROR(VLOOKUP(J13,'اختيار المقررات'!AV6:BQ54,3,0),"")</f>
        <v/>
      </c>
      <c r="M13" s="460"/>
      <c r="N13" s="460"/>
      <c r="O13" s="460"/>
      <c r="P13" s="137" t="str">
        <f>IFERROR(VLOOKUP(J13,'اختيار المقررات'!AV6:BQ54,4,0),"")</f>
        <v/>
      </c>
      <c r="Q13" s="138" t="str">
        <f>IFERROR(VLOOKUP(J13,'اختيار المقررات'!AV6:BQ54,5,0),"")</f>
        <v/>
      </c>
      <c r="R13" s="139"/>
      <c r="S13" s="140"/>
      <c r="T13" s="140"/>
      <c r="U13" s="128"/>
      <c r="V13" s="121" t="str">
        <f>IFERROR(SMALL('اختيار المقررات'!$AM$8:$AM$56,'اختيار المقررات'!AN10),"")</f>
        <v/>
      </c>
      <c r="X13" s="121">
        <v>11</v>
      </c>
      <c r="Y13" s="121">
        <f t="shared" si="0"/>
        <v>11</v>
      </c>
      <c r="Z13" s="121" t="str">
        <f>IF(LEN(H5)&lt;2,F5,"")</f>
        <v>الرقم الوطني:</v>
      </c>
      <c r="AA13" s="121">
        <f t="shared" si="1"/>
        <v>11</v>
      </c>
      <c r="AC13" s="124"/>
      <c r="AD13" s="124"/>
      <c r="AE13" s="435" t="str">
        <f t="shared" si="2"/>
        <v>الرقم الوطني:</v>
      </c>
      <c r="AF13" s="435"/>
      <c r="AG13" s="435"/>
      <c r="AH13" s="124"/>
    </row>
    <row r="14" spans="2:43" ht="15.6" customHeight="1" thickTop="1" thickBot="1" x14ac:dyDescent="0.3">
      <c r="B14" s="136" t="str">
        <f t="shared" si="3"/>
        <v/>
      </c>
      <c r="C14" s="152" t="str">
        <f>IFERROR(VLOOKUP(B14,'اختيار المقررات'!AV7:BQ55,2,0),"")</f>
        <v/>
      </c>
      <c r="D14" s="460" t="str">
        <f>IFERROR(VLOOKUP(B14,'اختيار المقررات'!AV7:BQ55,3,0),"")</f>
        <v/>
      </c>
      <c r="E14" s="460"/>
      <c r="F14" s="460"/>
      <c r="G14" s="460"/>
      <c r="H14" s="137" t="str">
        <f>IFERROR(VLOOKUP(B14,'اختيار المقررات'!AV7:BQ55,4,0),"")</f>
        <v/>
      </c>
      <c r="I14" s="138" t="str">
        <f>IFERROR(VLOOKUP(B14,'اختيار المقررات'!AV7:BQ55,5,0),"")</f>
        <v/>
      </c>
      <c r="J14" s="136" t="str">
        <f t="shared" si="4"/>
        <v/>
      </c>
      <c r="K14" s="152" t="str">
        <f>IFERROR(VLOOKUP(J14,'اختيار المقررات'!AV7:BQ55,2,0),"")</f>
        <v/>
      </c>
      <c r="L14" s="460" t="str">
        <f>IFERROR(VLOOKUP(J14,'اختيار المقررات'!AV7:BQ55,3,0),"")</f>
        <v/>
      </c>
      <c r="M14" s="460"/>
      <c r="N14" s="460"/>
      <c r="O14" s="460"/>
      <c r="P14" s="137" t="str">
        <f>IFERROR(VLOOKUP(J14,'اختيار المقررات'!AV7:BQ55,4,0),"")</f>
        <v/>
      </c>
      <c r="Q14" s="138" t="str">
        <f>IFERROR(VLOOKUP(J14,'اختيار المقررات'!AV7:BQ55,5,0),"")</f>
        <v/>
      </c>
      <c r="R14" s="139"/>
      <c r="S14" s="140"/>
      <c r="T14" s="140"/>
      <c r="U14" s="128"/>
      <c r="V14" s="121" t="str">
        <f>IFERROR(SMALL('اختيار المقررات'!$AM$8:$AM$56,'اختيار المقررات'!AN11),"")</f>
        <v/>
      </c>
      <c r="X14" s="121">
        <v>12</v>
      </c>
      <c r="Y14" s="121">
        <f t="shared" si="0"/>
        <v>12</v>
      </c>
      <c r="Z14" s="121" t="str">
        <f>IF(LEN(K5)&lt;2,J5,"")</f>
        <v>مكان ورقم القيد:</v>
      </c>
      <c r="AA14" s="121">
        <f t="shared" si="1"/>
        <v>12</v>
      </c>
      <c r="AC14" s="124"/>
      <c r="AD14" s="124"/>
      <c r="AE14" s="435" t="str">
        <f t="shared" si="2"/>
        <v>مكان ورقم القيد:</v>
      </c>
      <c r="AF14" s="435"/>
      <c r="AG14" s="435"/>
      <c r="AH14" s="124"/>
    </row>
    <row r="15" spans="2:43" ht="15.6" customHeight="1" thickTop="1" thickBot="1" x14ac:dyDescent="0.3">
      <c r="B15" s="136" t="str">
        <f t="shared" si="3"/>
        <v/>
      </c>
      <c r="C15" s="152" t="str">
        <f>IFERROR(VLOOKUP(B15,'اختيار المقررات'!AV8:BQ56,2,0),"")</f>
        <v/>
      </c>
      <c r="D15" s="460" t="str">
        <f>IFERROR(VLOOKUP(B15,'اختيار المقررات'!AV8:BQ56,3,0),"")</f>
        <v/>
      </c>
      <c r="E15" s="460"/>
      <c r="F15" s="460"/>
      <c r="G15" s="460"/>
      <c r="H15" s="137" t="str">
        <f>IFERROR(VLOOKUP(B15,'اختيار المقررات'!AV8:BQ56,4,0),"")</f>
        <v/>
      </c>
      <c r="I15" s="138" t="str">
        <f>IFERROR(VLOOKUP(B15,'اختيار المقررات'!AV8:BQ56,5,0),"")</f>
        <v/>
      </c>
      <c r="J15" s="136" t="str">
        <f t="shared" si="4"/>
        <v/>
      </c>
      <c r="K15" s="152" t="str">
        <f>IFERROR(VLOOKUP(J15,'اختيار المقررات'!AV8:BQ56,2,0),"")</f>
        <v/>
      </c>
      <c r="L15" s="460" t="str">
        <f>IFERROR(VLOOKUP(J15,'اختيار المقررات'!AV8:BQ56,3,0),"")</f>
        <v/>
      </c>
      <c r="M15" s="460"/>
      <c r="N15" s="460"/>
      <c r="O15" s="460"/>
      <c r="P15" s="137" t="str">
        <f>IFERROR(VLOOKUP(J15,'اختيار المقررات'!AV8:BQ56,4,0),"")</f>
        <v/>
      </c>
      <c r="Q15" s="138" t="str">
        <f>IFERROR(VLOOKUP(J15,'اختيار المقررات'!AV8:BQ56,5,0),"")</f>
        <v/>
      </c>
      <c r="R15" s="139"/>
      <c r="S15" s="140"/>
      <c r="T15" s="140"/>
      <c r="U15" s="128"/>
      <c r="V15" s="121" t="str">
        <f>IFERROR(SMALL('اختيار المقررات'!$AM$8:$AM$56,'اختيار المقررات'!AN12),"")</f>
        <v/>
      </c>
      <c r="X15" s="121">
        <v>13</v>
      </c>
      <c r="Y15" s="121" t="str">
        <f t="shared" si="0"/>
        <v/>
      </c>
      <c r="Z15" s="121" t="str">
        <f>IF(LEN(P5)&lt;2,N5,"")</f>
        <v/>
      </c>
      <c r="AA15" s="121">
        <f t="shared" si="1"/>
        <v>14</v>
      </c>
      <c r="AC15" s="124"/>
      <c r="AD15" s="124"/>
      <c r="AE15" s="435" t="str">
        <f t="shared" si="2"/>
        <v>شعبة التجنيد:</v>
      </c>
      <c r="AF15" s="435"/>
      <c r="AG15" s="435"/>
      <c r="AH15" s="124"/>
    </row>
    <row r="16" spans="2:43" ht="15.6" customHeight="1" thickTop="1" thickBot="1" x14ac:dyDescent="0.3">
      <c r="B16" s="136" t="str">
        <f t="shared" si="3"/>
        <v/>
      </c>
      <c r="C16" s="152" t="str">
        <f>IFERROR(VLOOKUP(B16,'اختيار المقررات'!AV9:BQ57,2,0),"")</f>
        <v/>
      </c>
      <c r="D16" s="460" t="str">
        <f>IFERROR(VLOOKUP(B16,'اختيار المقررات'!AV9:BQ57,3,0),"")</f>
        <v/>
      </c>
      <c r="E16" s="460"/>
      <c r="F16" s="460"/>
      <c r="G16" s="460"/>
      <c r="H16" s="137" t="str">
        <f>IFERROR(VLOOKUP(B16,'اختيار المقررات'!AV9:BQ57,4,0),"")</f>
        <v/>
      </c>
      <c r="I16" s="138" t="str">
        <f>IFERROR(VLOOKUP(B16,'اختيار المقررات'!AV9:BQ57,5,0),"")</f>
        <v/>
      </c>
      <c r="J16" s="136" t="str">
        <f t="shared" si="4"/>
        <v/>
      </c>
      <c r="K16" s="152" t="str">
        <f>IFERROR(VLOOKUP(J16,'اختيار المقررات'!AV9:BQ57,2,0),"")</f>
        <v/>
      </c>
      <c r="L16" s="460" t="str">
        <f>IFERROR(VLOOKUP(J16,'اختيار المقررات'!AV9:BQ57,3,0),"")</f>
        <v/>
      </c>
      <c r="M16" s="460"/>
      <c r="N16" s="460"/>
      <c r="O16" s="460"/>
      <c r="P16" s="137" t="str">
        <f>IFERROR(VLOOKUP(J16,'اختيار المقررات'!AV9:BQ57,4,0),"")</f>
        <v/>
      </c>
      <c r="Q16" s="138" t="str">
        <f>IFERROR(VLOOKUP(J16,'اختيار المقررات'!AV9:BQ57,5,0),"")</f>
        <v/>
      </c>
      <c r="R16" s="139"/>
      <c r="S16" s="140"/>
      <c r="T16" s="140"/>
      <c r="U16" s="128"/>
      <c r="V16" s="121" t="str">
        <f>IFERROR(SMALL('اختيار المقررات'!$AM$8:$AM$56,'اختيار المقررات'!AN13),"")</f>
        <v/>
      </c>
      <c r="X16" s="121">
        <v>14</v>
      </c>
      <c r="Y16" s="121">
        <f t="shared" si="0"/>
        <v>14</v>
      </c>
      <c r="Z16" s="121" t="str">
        <f>IF(LEN(D6)&lt;2,B6,"")</f>
        <v>شعبة التجنيد:</v>
      </c>
      <c r="AA16" s="121">
        <f t="shared" si="1"/>
        <v>15</v>
      </c>
      <c r="AC16" s="124"/>
      <c r="AD16" s="124"/>
      <c r="AE16" s="435" t="str">
        <f t="shared" si="2"/>
        <v>نوع الثانوية:</v>
      </c>
      <c r="AF16" s="435"/>
      <c r="AG16" s="435"/>
      <c r="AH16" s="124"/>
    </row>
    <row r="17" spans="2:34" ht="15.6" customHeight="1" thickTop="1" thickBot="1" x14ac:dyDescent="0.3">
      <c r="B17" s="136" t="str">
        <f t="shared" si="3"/>
        <v/>
      </c>
      <c r="C17" s="152" t="str">
        <f>IFERROR(VLOOKUP(B17,'اختيار المقررات'!AV10:BQ58,2,0),"")</f>
        <v/>
      </c>
      <c r="D17" s="460" t="str">
        <f>IFERROR(VLOOKUP(B17,'اختيار المقررات'!AV10:BQ58,3,0),"")</f>
        <v/>
      </c>
      <c r="E17" s="460"/>
      <c r="F17" s="460"/>
      <c r="G17" s="460"/>
      <c r="H17" s="137" t="str">
        <f>IFERROR(VLOOKUP(B17,'اختيار المقررات'!AV10:BQ58,4,0),"")</f>
        <v/>
      </c>
      <c r="I17" s="138" t="str">
        <f>IFERROR(VLOOKUP(B17,'اختيار المقررات'!AV10:BQ58,5,0),"")</f>
        <v/>
      </c>
      <c r="J17" s="136" t="str">
        <f t="shared" si="4"/>
        <v/>
      </c>
      <c r="K17" s="152" t="str">
        <f>IFERROR(VLOOKUP(J17,'اختيار المقررات'!AV10:BQ58,2,0),"")</f>
        <v/>
      </c>
      <c r="L17" s="460" t="str">
        <f>IFERROR(VLOOKUP(J17,'اختيار المقررات'!AV10:BQ58,3,0),"")</f>
        <v/>
      </c>
      <c r="M17" s="460"/>
      <c r="N17" s="460"/>
      <c r="O17" s="460"/>
      <c r="P17" s="137" t="str">
        <f>IFERROR(VLOOKUP(J17,'اختيار المقررات'!AV10:BQ58,4,0),"")</f>
        <v/>
      </c>
      <c r="Q17" s="138" t="str">
        <f>IFERROR(VLOOKUP(J17,'اختيار المقررات'!AV10:BQ58,5,0),"")</f>
        <v/>
      </c>
      <c r="R17" s="139"/>
      <c r="S17" s="140"/>
      <c r="T17" s="140"/>
      <c r="U17" s="128"/>
      <c r="V17" s="121" t="str">
        <f>IFERROR(SMALL('اختيار المقررات'!$AM$8:$AM$56,'اختيار المقررات'!AN14),"")</f>
        <v/>
      </c>
      <c r="X17" s="121">
        <v>15</v>
      </c>
      <c r="Y17" s="121">
        <f t="shared" si="0"/>
        <v>15</v>
      </c>
      <c r="Z17" s="121" t="str">
        <f>IF(LEN(H6)&lt;2,F6,"")</f>
        <v>نوع الثانوية:</v>
      </c>
      <c r="AA17" s="121">
        <f t="shared" si="1"/>
        <v>16</v>
      </c>
      <c r="AC17" s="124"/>
      <c r="AD17" s="124"/>
      <c r="AE17" s="435" t="str">
        <f t="shared" si="2"/>
        <v>محافظتها:</v>
      </c>
      <c r="AF17" s="435"/>
      <c r="AG17" s="435"/>
      <c r="AH17" s="124"/>
    </row>
    <row r="18" spans="2:34" ht="15.6" customHeight="1" thickTop="1" thickBot="1" x14ac:dyDescent="0.3">
      <c r="B18" s="136" t="str">
        <f t="shared" si="3"/>
        <v/>
      </c>
      <c r="C18" s="152" t="str">
        <f>IFERROR(VLOOKUP(B18,'اختيار المقررات'!AV11:BQ59,2,0),"")</f>
        <v/>
      </c>
      <c r="D18" s="460" t="str">
        <f>IFERROR(VLOOKUP(B18,'اختيار المقررات'!AV11:BQ59,3,0),"")</f>
        <v/>
      </c>
      <c r="E18" s="460"/>
      <c r="F18" s="460"/>
      <c r="G18" s="460"/>
      <c r="H18" s="137" t="str">
        <f>IFERROR(VLOOKUP(B18,'اختيار المقررات'!AV11:BQ59,4,0),"")</f>
        <v/>
      </c>
      <c r="I18" s="138" t="str">
        <f>IFERROR(VLOOKUP(B18,'اختيار المقررات'!AV11:BQ59,5,0),"")</f>
        <v/>
      </c>
      <c r="J18" s="136" t="str">
        <f t="shared" si="4"/>
        <v/>
      </c>
      <c r="K18" s="152" t="str">
        <f>IFERROR(VLOOKUP(J18,'اختيار المقررات'!AV11:BQ59,2,0),"")</f>
        <v/>
      </c>
      <c r="L18" s="460" t="str">
        <f>IFERROR(VLOOKUP(J18,'اختيار المقررات'!AV11:BQ59,3,0),"")</f>
        <v/>
      </c>
      <c r="M18" s="460"/>
      <c r="N18" s="460"/>
      <c r="O18" s="460"/>
      <c r="P18" s="137" t="str">
        <f>IFERROR(VLOOKUP(J18,'اختيار المقررات'!AV11:BQ59,4,0),"")</f>
        <v/>
      </c>
      <c r="Q18" s="138" t="str">
        <f>IFERROR(VLOOKUP(J18,'اختيار المقررات'!AV11:BQ59,5,0),"")</f>
        <v/>
      </c>
      <c r="R18" s="139"/>
      <c r="S18" s="140"/>
      <c r="T18" s="140"/>
      <c r="U18" s="128"/>
      <c r="V18" s="121" t="str">
        <f>IFERROR(SMALL('اختيار المقررات'!$AM$8:$AM$56,'اختيار المقررات'!AN15),"")</f>
        <v/>
      </c>
      <c r="X18" s="121">
        <v>16</v>
      </c>
      <c r="Y18" s="121">
        <f t="shared" si="0"/>
        <v>16</v>
      </c>
      <c r="Z18" s="121" t="str">
        <f>IF(LEN(K6)&lt;2,J6,"")</f>
        <v>محافظتها:</v>
      </c>
      <c r="AA18" s="121">
        <f t="shared" si="1"/>
        <v>17</v>
      </c>
      <c r="AC18" s="124"/>
      <c r="AD18" s="124"/>
      <c r="AE18" s="435" t="str">
        <f t="shared" si="2"/>
        <v>عامها:</v>
      </c>
      <c r="AF18" s="435"/>
      <c r="AG18" s="435"/>
      <c r="AH18" s="124"/>
    </row>
    <row r="19" spans="2:34" ht="15.6" customHeight="1" thickTop="1" thickBot="1" x14ac:dyDescent="0.3">
      <c r="B19" s="458">
        <f>'إدخال البيانات'!A2</f>
        <v>0</v>
      </c>
      <c r="C19" s="458"/>
      <c r="D19" s="458"/>
      <c r="E19" s="458"/>
      <c r="F19" s="458"/>
      <c r="G19" s="458"/>
      <c r="H19" s="458"/>
      <c r="I19" s="458"/>
      <c r="J19" s="458"/>
      <c r="K19" s="458"/>
      <c r="L19" s="458"/>
      <c r="M19" s="458"/>
      <c r="N19" s="458"/>
      <c r="O19" s="458"/>
      <c r="P19" s="458"/>
      <c r="Q19" s="458"/>
      <c r="R19" s="458"/>
      <c r="S19" s="140"/>
      <c r="T19" s="140"/>
      <c r="U19" s="128"/>
      <c r="V19" s="121" t="str">
        <f>IFERROR(SMALL('اختيار المقررات'!$AM$8:$AM$56,'اختيار المقررات'!AN16),"")</f>
        <v/>
      </c>
      <c r="X19" s="121">
        <v>17</v>
      </c>
      <c r="Y19" s="121">
        <f t="shared" si="0"/>
        <v>17</v>
      </c>
      <c r="Z19" s="121" t="str">
        <f>IF(LEN(P6)&lt;2,N6,"")</f>
        <v>عامها:</v>
      </c>
      <c r="AA19" s="121">
        <f t="shared" si="1"/>
        <v>18</v>
      </c>
      <c r="AC19" s="124"/>
      <c r="AD19" s="124"/>
      <c r="AE19" s="435" t="str">
        <f t="shared" si="2"/>
        <v>الموبايل:</v>
      </c>
      <c r="AF19" s="435"/>
      <c r="AG19" s="435"/>
      <c r="AH19" s="124"/>
    </row>
    <row r="20" spans="2:34" ht="15.6" customHeight="1" thickTop="1" thickBot="1" x14ac:dyDescent="0.3">
      <c r="B20" s="459"/>
      <c r="C20" s="459"/>
      <c r="D20" s="459"/>
      <c r="E20" s="459"/>
      <c r="F20" s="459"/>
      <c r="G20" s="459"/>
      <c r="H20" s="459"/>
      <c r="I20" s="459"/>
      <c r="J20" s="459"/>
      <c r="K20" s="459"/>
      <c r="L20" s="459"/>
      <c r="M20" s="459"/>
      <c r="N20" s="459"/>
      <c r="O20" s="459"/>
      <c r="P20" s="459"/>
      <c r="Q20" s="459"/>
      <c r="R20" s="459"/>
      <c r="S20" s="140"/>
      <c r="T20" s="140"/>
      <c r="U20" s="128"/>
      <c r="V20" s="121" t="str">
        <f>IFERROR(SMALL('اختيار المقررات'!$AM$8:$AM$56,'اختيار المقررات'!AN17),"")</f>
        <v/>
      </c>
      <c r="X20" s="121">
        <v>18</v>
      </c>
      <c r="Y20" s="121">
        <f t="shared" si="0"/>
        <v>18</v>
      </c>
      <c r="Z20" s="121" t="str">
        <f>IF(LEN(D7)&lt;2,B7,"")</f>
        <v>الموبايل:</v>
      </c>
      <c r="AA20" s="121">
        <f t="shared" si="1"/>
        <v>19</v>
      </c>
      <c r="AC20" s="124"/>
      <c r="AD20" s="124"/>
      <c r="AE20" s="435" t="str">
        <f t="shared" si="2"/>
        <v>الهاتف:</v>
      </c>
      <c r="AF20" s="435"/>
      <c r="AG20" s="435"/>
      <c r="AH20" s="124"/>
    </row>
    <row r="21" spans="2:34" ht="15.6" customHeight="1" thickTop="1" thickBot="1" x14ac:dyDescent="0.3">
      <c r="B21" s="461" t="s">
        <v>76</v>
      </c>
      <c r="C21" s="462"/>
      <c r="D21" s="462"/>
      <c r="E21" s="462"/>
      <c r="F21" s="115">
        <f>'اختيار المقررات'!AE25</f>
        <v>0</v>
      </c>
      <c r="G21" s="462" t="s">
        <v>77</v>
      </c>
      <c r="H21" s="462"/>
      <c r="I21" s="462"/>
      <c r="J21" s="462"/>
      <c r="K21" s="453">
        <f>'اختيار المقررات'!AE26</f>
        <v>0</v>
      </c>
      <c r="L21" s="453"/>
      <c r="M21" s="462" t="str">
        <f>'اختيار المقررات'!Z27</f>
        <v>عدد المقررات المسجلة</v>
      </c>
      <c r="N21" s="462"/>
      <c r="O21" s="462"/>
      <c r="P21" s="462"/>
      <c r="Q21" s="453">
        <f>'اختيار المقررات'!AE27</f>
        <v>0</v>
      </c>
      <c r="R21" s="454"/>
      <c r="S21" s="141"/>
      <c r="V21" s="121" t="str">
        <f>IFERROR(SMALL('اختيار المقررات'!$AM$8:$AM$56,'اختيار المقررات'!AN18),"")</f>
        <v/>
      </c>
      <c r="X21" s="121">
        <v>19</v>
      </c>
      <c r="Y21" s="121">
        <f t="shared" si="0"/>
        <v>19</v>
      </c>
      <c r="Z21" s="121" t="str">
        <f>IF(LEN(H7)&lt;2,F7,"")</f>
        <v>الهاتف:</v>
      </c>
      <c r="AA21" s="121">
        <f t="shared" si="1"/>
        <v>20</v>
      </c>
      <c r="AC21" s="124"/>
      <c r="AD21" s="124"/>
      <c r="AE21" s="435" t="str">
        <f t="shared" si="2"/>
        <v>العنوان :</v>
      </c>
      <c r="AF21" s="435"/>
      <c r="AG21" s="435"/>
      <c r="AH21" s="124"/>
    </row>
    <row r="22" spans="2:34" ht="15.6" customHeight="1" thickTop="1" x14ac:dyDescent="0.25">
      <c r="B22" s="500" t="s">
        <v>71</v>
      </c>
      <c r="C22" s="501"/>
      <c r="D22" s="501"/>
      <c r="E22" s="502">
        <f>'اختيار المقررات'!G5</f>
        <v>0</v>
      </c>
      <c r="F22" s="502"/>
      <c r="G22" s="502"/>
      <c r="H22" s="502"/>
      <c r="I22" s="503"/>
      <c r="J22" s="95" t="s">
        <v>58</v>
      </c>
      <c r="K22" s="422" t="e">
        <f>'اختيار المقررات'!R5</f>
        <v>#REF!</v>
      </c>
      <c r="L22" s="422"/>
      <c r="M22" s="116" t="s">
        <v>0</v>
      </c>
      <c r="N22" s="463" t="e">
        <f>'اختيار المقررات'!X5</f>
        <v>#REF!</v>
      </c>
      <c r="O22" s="463"/>
      <c r="P22" s="504"/>
      <c r="Q22" s="504"/>
      <c r="R22" s="505"/>
      <c r="V22" s="121" t="str">
        <f>IFERROR(SMALL('اختيار المقررات'!$AM$8:$AM$56,'اختيار المقررات'!AN19),"")</f>
        <v/>
      </c>
      <c r="X22" s="121">
        <v>20</v>
      </c>
      <c r="Y22" s="121">
        <f t="shared" si="0"/>
        <v>20</v>
      </c>
      <c r="Z22" s="121" t="str">
        <f>IF(LEN(K7)&lt;2,J7,"")</f>
        <v>العنوان :</v>
      </c>
      <c r="AC22" s="124"/>
      <c r="AD22" s="124"/>
      <c r="AE22" s="435" t="str">
        <f t="shared" si="2"/>
        <v/>
      </c>
      <c r="AF22" s="435"/>
      <c r="AG22" s="435"/>
      <c r="AH22" s="124"/>
    </row>
    <row r="23" spans="2:34" ht="15.6" customHeight="1" x14ac:dyDescent="0.25">
      <c r="B23" s="412" t="s">
        <v>75</v>
      </c>
      <c r="C23" s="413"/>
      <c r="D23" s="413"/>
      <c r="E23" s="455">
        <f>'اختيار المقررات'!O25</f>
        <v>12000</v>
      </c>
      <c r="F23" s="455"/>
      <c r="G23" s="456"/>
      <c r="H23" s="436" t="s">
        <v>205</v>
      </c>
      <c r="I23" s="437"/>
      <c r="J23" s="438" t="e">
        <f>'اختيار المقررات'!W25</f>
        <v>#REF!</v>
      </c>
      <c r="K23" s="438"/>
      <c r="L23" s="439"/>
      <c r="M23" s="440" t="s">
        <v>143</v>
      </c>
      <c r="N23" s="440"/>
      <c r="O23" s="440" t="s">
        <v>144</v>
      </c>
      <c r="P23" s="440"/>
      <c r="Q23" s="440" t="s">
        <v>154</v>
      </c>
      <c r="R23" s="440"/>
      <c r="V23" s="121" t="str">
        <f>IFERROR(SMALL('اختيار المقررات'!$AM$8:$AM$56,'اختيار المقررات'!AN20),"")</f>
        <v/>
      </c>
    </row>
    <row r="24" spans="2:34" ht="15.6" customHeight="1" x14ac:dyDescent="0.25">
      <c r="B24" s="412" t="s">
        <v>145</v>
      </c>
      <c r="C24" s="413"/>
      <c r="D24" s="413"/>
      <c r="E24" s="414">
        <f>'اختيار المقررات'!O27</f>
        <v>0</v>
      </c>
      <c r="F24" s="414"/>
      <c r="G24" s="415"/>
      <c r="H24" s="441" t="s">
        <v>25</v>
      </c>
      <c r="I24" s="442"/>
      <c r="J24" s="414">
        <f>'اختيار المقررات'!O26</f>
        <v>0</v>
      </c>
      <c r="K24" s="414"/>
      <c r="L24" s="415"/>
      <c r="M24" s="440"/>
      <c r="N24" s="440"/>
      <c r="O24" s="440"/>
      <c r="P24" s="440"/>
      <c r="Q24" s="440"/>
      <c r="R24" s="440"/>
      <c r="V24" s="121" t="str">
        <f>IFERROR(SMALL('اختيار المقررات'!$AM$8:$AM$56,'اختيار المقررات'!AN21),"")</f>
        <v/>
      </c>
    </row>
    <row r="25" spans="2:34" ht="15.6" customHeight="1" x14ac:dyDescent="0.25">
      <c r="B25" s="412" t="s">
        <v>139</v>
      </c>
      <c r="C25" s="413"/>
      <c r="D25" s="413"/>
      <c r="E25" s="414">
        <f>'اختيار المقررات'!O28</f>
        <v>0</v>
      </c>
      <c r="F25" s="414"/>
      <c r="G25" s="415"/>
      <c r="H25" s="443" t="s">
        <v>20</v>
      </c>
      <c r="I25" s="444"/>
      <c r="J25" s="422" t="str">
        <f>'اختيار المقررات'!W28</f>
        <v>لا</v>
      </c>
      <c r="K25" s="422"/>
      <c r="L25" s="423"/>
      <c r="M25" s="440"/>
      <c r="N25" s="440"/>
      <c r="O25" s="440"/>
      <c r="P25" s="440"/>
      <c r="Q25" s="440"/>
      <c r="R25" s="440"/>
    </row>
    <row r="26" spans="2:34" ht="15.6" customHeight="1" x14ac:dyDescent="0.25">
      <c r="B26" s="433" t="s">
        <v>23</v>
      </c>
      <c r="C26" s="434"/>
      <c r="D26" s="434"/>
      <c r="E26" s="424">
        <f>IF(AJ1&gt;0,"",'اختيار المقررات'!O29)</f>
        <v>12000</v>
      </c>
      <c r="F26" s="424"/>
      <c r="G26" s="424"/>
      <c r="H26" s="424"/>
      <c r="I26" s="424"/>
      <c r="J26" s="424"/>
      <c r="K26" s="424"/>
      <c r="L26" s="425"/>
      <c r="M26" s="440"/>
      <c r="N26" s="440"/>
      <c r="O26" s="440"/>
      <c r="P26" s="440"/>
      <c r="Q26" s="440"/>
      <c r="R26" s="440"/>
    </row>
    <row r="27" spans="2:34" ht="15.6" customHeight="1" x14ac:dyDescent="0.25">
      <c r="B27" s="445" t="str">
        <f>'اختيار المقررات'!D25</f>
        <v>منقطع عن التسجيل في</v>
      </c>
      <c r="C27" s="446"/>
      <c r="D27" s="446"/>
      <c r="E27" s="446"/>
      <c r="F27" s="446"/>
      <c r="G27" s="446"/>
      <c r="H27" s="446"/>
      <c r="I27" s="446"/>
      <c r="J27" s="446"/>
      <c r="K27" s="446"/>
      <c r="L27" s="447"/>
      <c r="M27" s="440"/>
      <c r="N27" s="440"/>
      <c r="O27" s="440"/>
      <c r="P27" s="440"/>
      <c r="Q27" s="440"/>
      <c r="R27" s="440"/>
    </row>
    <row r="28" spans="2:34" ht="15.6" customHeight="1" x14ac:dyDescent="0.25">
      <c r="B28" s="448" t="str">
        <f>'اختيار المقررات'!D26</f>
        <v/>
      </c>
      <c r="C28" s="449"/>
      <c r="D28" s="449"/>
      <c r="E28" s="449"/>
      <c r="F28" s="449"/>
      <c r="G28" s="449" t="str">
        <f>'اختيار المقررات'!D27</f>
        <v/>
      </c>
      <c r="H28" s="449"/>
      <c r="I28" s="449"/>
      <c r="J28" s="449"/>
      <c r="K28" s="449"/>
      <c r="L28" s="450"/>
      <c r="M28" s="440"/>
      <c r="N28" s="440"/>
      <c r="O28" s="440"/>
      <c r="P28" s="440"/>
      <c r="Q28" s="440"/>
      <c r="R28" s="440"/>
      <c r="V28" s="121" t="str">
        <f>IFERROR(SMALL('اختيار المقررات'!$V$10:$V$30,'اختيار المقررات'!W39),"")</f>
        <v/>
      </c>
    </row>
    <row r="29" spans="2:34" ht="15.6" customHeight="1" x14ac:dyDescent="0.25">
      <c r="B29" s="448" t="str">
        <f>'اختيار المقررات'!D28</f>
        <v/>
      </c>
      <c r="C29" s="449"/>
      <c r="D29" s="449"/>
      <c r="E29" s="449"/>
      <c r="F29" s="449"/>
      <c r="G29" s="449" t="str">
        <f>'اختيار المقررات'!D29</f>
        <v xml:space="preserve"> </v>
      </c>
      <c r="H29" s="449"/>
      <c r="I29" s="449"/>
      <c r="J29" s="449"/>
      <c r="K29" s="449"/>
      <c r="L29" s="450"/>
      <c r="M29" s="440"/>
      <c r="N29" s="440"/>
      <c r="O29" s="440"/>
      <c r="P29" s="440"/>
      <c r="Q29" s="440"/>
      <c r="R29" s="440"/>
      <c r="V29" s="121" t="str">
        <f>IFERROR(SMALL('اختيار المقررات'!$V$10:$V$30,'اختيار المقررات'!W41),"")</f>
        <v/>
      </c>
    </row>
    <row r="30" spans="2:34" ht="15.6" customHeight="1" x14ac:dyDescent="0.25">
      <c r="B30" s="457" t="str">
        <f>'اختيار المقررات'!D30</f>
        <v/>
      </c>
      <c r="C30" s="451"/>
      <c r="D30" s="451"/>
      <c r="E30" s="451"/>
      <c r="F30" s="451"/>
      <c r="G30" s="451" t="str">
        <f>'اختيار المقررات'!D31</f>
        <v/>
      </c>
      <c r="H30" s="451"/>
      <c r="I30" s="451"/>
      <c r="J30" s="451"/>
      <c r="K30" s="451"/>
      <c r="L30" s="452"/>
      <c r="M30" s="440"/>
      <c r="N30" s="440"/>
      <c r="O30" s="440"/>
      <c r="P30" s="440"/>
      <c r="Q30" s="440"/>
      <c r="R30" s="440"/>
      <c r="V30" s="121" t="str">
        <f>IFERROR(SMALL('اختيار المقررات'!$V$10:$V$30,'اختيار المقررات'!W42),"")</f>
        <v/>
      </c>
    </row>
    <row r="31" spans="2:34" ht="15.6" customHeight="1" x14ac:dyDescent="0.25">
      <c r="B31" s="430" t="s">
        <v>155</v>
      </c>
      <c r="C31" s="431"/>
      <c r="D31" s="431"/>
      <c r="E31" s="431"/>
      <c r="F31" s="431"/>
      <c r="G31" s="431"/>
      <c r="H31" s="431"/>
      <c r="I31" s="431"/>
      <c r="J31" s="431"/>
      <c r="K31" s="431"/>
      <c r="L31" s="431"/>
      <c r="M31" s="431"/>
      <c r="N31" s="431"/>
      <c r="O31" s="431"/>
      <c r="P31" s="431"/>
      <c r="Q31" s="431"/>
      <c r="R31" s="432"/>
      <c r="V31" s="121" t="str">
        <f>IFERROR(SMALL('اختيار المقررات'!$V$10:$V$30,'اختيار المقررات'!W30),"")</f>
        <v/>
      </c>
    </row>
    <row r="32" spans="2:34" ht="15.6" customHeight="1" x14ac:dyDescent="0.25">
      <c r="B32" s="429" t="s">
        <v>30</v>
      </c>
      <c r="C32" s="429"/>
      <c r="D32" s="429"/>
      <c r="E32" s="429"/>
      <c r="F32" s="429"/>
      <c r="G32" s="429"/>
      <c r="H32" s="429"/>
      <c r="I32" s="429"/>
      <c r="J32" s="429"/>
      <c r="K32" s="429"/>
      <c r="L32" s="429"/>
      <c r="M32" s="429"/>
      <c r="N32" s="429"/>
      <c r="O32" s="429"/>
      <c r="P32" s="429"/>
      <c r="Q32" s="429"/>
      <c r="R32" s="429"/>
    </row>
    <row r="33" spans="2:18" ht="15.6" customHeight="1" x14ac:dyDescent="0.25">
      <c r="B33" s="411" t="s">
        <v>31</v>
      </c>
      <c r="C33" s="411"/>
      <c r="D33" s="411"/>
      <c r="E33" s="411"/>
      <c r="F33" s="416">
        <f>IF(AJ1=0,E26,"لم يتم التسجيل")</f>
        <v>12000</v>
      </c>
      <c r="G33" s="417"/>
      <c r="H33" s="426" t="str">
        <f>IF(D4="أنثى","ليرة سورية فقط لا غير من الطالبة","ليرة سورية فقط لا غير من الطالب")&amp;" "&amp;H2</f>
        <v>ليرة سورية فقط لا غير من الطالب 0</v>
      </c>
      <c r="I33" s="426"/>
      <c r="J33" s="426"/>
      <c r="K33" s="426"/>
      <c r="L33" s="426"/>
      <c r="M33" s="426"/>
      <c r="N33" s="426"/>
      <c r="O33" s="426"/>
      <c r="P33" s="426"/>
      <c r="Q33" s="426"/>
      <c r="R33" s="426"/>
    </row>
    <row r="34" spans="2:18" ht="15.6" customHeight="1" x14ac:dyDescent="0.25">
      <c r="B34" s="411" t="str">
        <f>IF(D4="أنثى","رقمها الامتحاني","رقمه الامتحاني")</f>
        <v>رقمه الامتحاني</v>
      </c>
      <c r="C34" s="411"/>
      <c r="D34" s="411"/>
      <c r="E34" s="417">
        <f>D2</f>
        <v>0</v>
      </c>
      <c r="F34" s="417"/>
      <c r="G34" s="411" t="s">
        <v>32</v>
      </c>
      <c r="H34" s="411"/>
      <c r="I34" s="411"/>
      <c r="J34" s="411"/>
      <c r="K34" s="411"/>
      <c r="L34" s="411"/>
      <c r="M34" s="411"/>
      <c r="N34" s="411"/>
      <c r="O34" s="411"/>
      <c r="P34" s="411"/>
      <c r="Q34" s="411"/>
      <c r="R34" s="411"/>
    </row>
    <row r="35" spans="2:18" ht="15.6" customHeight="1" x14ac:dyDescent="0.25">
      <c r="B35" s="153"/>
      <c r="C35" s="154"/>
      <c r="D35" s="427"/>
      <c r="E35" s="427"/>
      <c r="F35" s="427"/>
      <c r="G35" s="427"/>
      <c r="H35" s="427"/>
      <c r="I35" s="155"/>
      <c r="J35" s="155"/>
      <c r="K35" s="153"/>
      <c r="L35" s="154"/>
      <c r="M35" s="427"/>
      <c r="N35" s="427"/>
      <c r="O35" s="427"/>
      <c r="P35" s="427"/>
      <c r="Q35" s="155"/>
      <c r="R35" s="155"/>
    </row>
    <row r="36" spans="2:18" ht="24" customHeight="1" x14ac:dyDescent="0.25">
      <c r="B36" s="428" t="s">
        <v>26</v>
      </c>
      <c r="C36" s="428"/>
      <c r="D36" s="428"/>
      <c r="E36" s="428"/>
      <c r="F36" s="428"/>
      <c r="G36" s="428"/>
      <c r="H36" s="428"/>
      <c r="I36" s="428"/>
      <c r="J36" s="428"/>
      <c r="K36" s="428"/>
      <c r="L36" s="428"/>
      <c r="M36" s="428"/>
      <c r="N36" s="428"/>
      <c r="O36" s="428"/>
      <c r="P36" s="428"/>
      <c r="Q36" s="428"/>
      <c r="R36" s="428"/>
    </row>
    <row r="37" spans="2:18" ht="24" customHeight="1" x14ac:dyDescent="0.25">
      <c r="B37" s="429" t="s">
        <v>30</v>
      </c>
      <c r="C37" s="429"/>
      <c r="D37" s="429"/>
      <c r="E37" s="429"/>
      <c r="F37" s="429"/>
      <c r="G37" s="429"/>
      <c r="H37" s="429"/>
      <c r="I37" s="429"/>
      <c r="J37" s="429"/>
      <c r="K37" s="429"/>
      <c r="L37" s="429"/>
      <c r="M37" s="429"/>
      <c r="N37" s="429"/>
      <c r="O37" s="429"/>
      <c r="P37" s="429"/>
      <c r="Q37" s="429"/>
      <c r="R37" s="429"/>
    </row>
    <row r="38" spans="2:18" ht="24" customHeight="1" x14ac:dyDescent="0.25">
      <c r="B38" s="411" t="s">
        <v>31</v>
      </c>
      <c r="C38" s="411"/>
      <c r="D38" s="411"/>
      <c r="E38" s="411"/>
      <c r="F38" s="416">
        <f>IF(AJ1&lt;&gt;0,F33,'اختيار المقررات'!AD29)</f>
        <v>0</v>
      </c>
      <c r="G38" s="417"/>
      <c r="H38" s="418" t="str">
        <f>H33</f>
        <v>ليرة سورية فقط لا غير من الطالب 0</v>
      </c>
      <c r="I38" s="418"/>
      <c r="J38" s="418"/>
      <c r="K38" s="418"/>
      <c r="L38" s="418"/>
      <c r="M38" s="418"/>
      <c r="N38" s="418"/>
      <c r="O38" s="418"/>
      <c r="P38" s="418"/>
      <c r="Q38" s="418"/>
      <c r="R38" s="418"/>
    </row>
    <row r="39" spans="2:18" ht="24" customHeight="1" x14ac:dyDescent="0.3">
      <c r="B39" s="419" t="str">
        <f>B34</f>
        <v>رقمه الامتحاني</v>
      </c>
      <c r="C39" s="419"/>
      <c r="D39" s="419"/>
      <c r="E39" s="420">
        <f>E34</f>
        <v>0</v>
      </c>
      <c r="F39" s="420"/>
      <c r="G39" s="421" t="str">
        <f>G34</f>
        <v xml:space="preserve">وتحويله إلى حساب التعليم المفتوح رقم ck1-10173186 وتسليم إشعار القبض إلى صاحب العلاقة  </v>
      </c>
      <c r="H39" s="421"/>
      <c r="I39" s="421"/>
      <c r="J39" s="421"/>
      <c r="K39" s="421"/>
      <c r="L39" s="421"/>
      <c r="M39" s="421"/>
      <c r="N39" s="421"/>
      <c r="O39" s="421"/>
      <c r="P39" s="421"/>
      <c r="Q39" s="421"/>
      <c r="R39" s="421"/>
    </row>
    <row r="40" spans="2:18" ht="15.75" customHeight="1" x14ac:dyDescent="0.25"/>
    <row r="41" spans="2:18" ht="22.5" customHeight="1" x14ac:dyDescent="0.25"/>
    <row r="42" spans="2:18" ht="22.5" customHeight="1" x14ac:dyDescent="0.25">
      <c r="C42" s="142"/>
      <c r="D42" s="142"/>
      <c r="E42" s="142"/>
      <c r="F42" s="142"/>
      <c r="G42" s="142"/>
    </row>
    <row r="43" spans="2:18" ht="26.25" customHeight="1" x14ac:dyDescent="0.25">
      <c r="C43" s="142"/>
      <c r="D43" s="142"/>
      <c r="E43" s="142"/>
      <c r="F43" s="142"/>
      <c r="G43" s="142"/>
      <c r="H43" s="143"/>
      <c r="I43" s="143"/>
      <c r="J43" s="143"/>
      <c r="K43" s="143"/>
      <c r="L43" s="143"/>
      <c r="M43" s="143"/>
      <c r="N43" s="143"/>
      <c r="O43" s="143"/>
      <c r="P43" s="143"/>
      <c r="Q43" s="143"/>
      <c r="R43" s="143"/>
    </row>
    <row r="44" spans="2:18" x14ac:dyDescent="0.25">
      <c r="C44" s="142"/>
      <c r="D44" s="142"/>
      <c r="E44" s="142"/>
      <c r="F44" s="142"/>
      <c r="G44" s="142"/>
      <c r="H44" s="143"/>
      <c r="I44" s="143"/>
      <c r="J44" s="143"/>
      <c r="K44" s="143"/>
      <c r="L44" s="143"/>
      <c r="M44" s="143"/>
      <c r="N44" s="143"/>
      <c r="O44" s="143"/>
      <c r="P44" s="143"/>
      <c r="Q44" s="143"/>
      <c r="R44" s="143"/>
    </row>
  </sheetData>
  <sheetProtection algorithmName="SHA-512" hashValue="XK9ZsmJ9GgbKhtJAnnxtuH0Ihuj7Ve95SGy+UvHjK4CINAM8VTkUaKHp41qdx9vBoNTEvyWEuyLBVHa9rexM6Q==" saltValue="Rh4B3wOBl5kyJG0ls5e+IQ==" spinCount="100000" sheet="1" selectLockedCells="1" selectUnlockedCells="1"/>
  <mergeCells count="133">
    <mergeCell ref="B22:D22"/>
    <mergeCell ref="E22:I22"/>
    <mergeCell ref="K22:L22"/>
    <mergeCell ref="P22:R22"/>
    <mergeCell ref="F5:G5"/>
    <mergeCell ref="H5:I5"/>
    <mergeCell ref="K5:M5"/>
    <mergeCell ref="D13:G13"/>
    <mergeCell ref="L13:O13"/>
    <mergeCell ref="D11:G11"/>
    <mergeCell ref="L11:O11"/>
    <mergeCell ref="D15:G15"/>
    <mergeCell ref="L15:O15"/>
    <mergeCell ref="F1:R1"/>
    <mergeCell ref="D14:G14"/>
    <mergeCell ref="L14:O14"/>
    <mergeCell ref="N5:O5"/>
    <mergeCell ref="N6:O6"/>
    <mergeCell ref="P2:R2"/>
    <mergeCell ref="F3:G3"/>
    <mergeCell ref="H3:I3"/>
    <mergeCell ref="B8:R10"/>
    <mergeCell ref="B5:C5"/>
    <mergeCell ref="P6:R6"/>
    <mergeCell ref="B7:C7"/>
    <mergeCell ref="B6:C6"/>
    <mergeCell ref="P5:R5"/>
    <mergeCell ref="D7:E7"/>
    <mergeCell ref="F7:G7"/>
    <mergeCell ref="H7:I7"/>
    <mergeCell ref="K7:R7"/>
    <mergeCell ref="K2:L2"/>
    <mergeCell ref="Q3:R3"/>
    <mergeCell ref="J3:L3"/>
    <mergeCell ref="B4:C4"/>
    <mergeCell ref="N4:P4"/>
    <mergeCell ref="Q4:R4"/>
    <mergeCell ref="AD1:AH2"/>
    <mergeCell ref="AE3:AG3"/>
    <mergeCell ref="AE4:AG4"/>
    <mergeCell ref="AE5:AG5"/>
    <mergeCell ref="AE6:AG6"/>
    <mergeCell ref="AE7:AG7"/>
    <mergeCell ref="D6:E6"/>
    <mergeCell ref="F6:G6"/>
    <mergeCell ref="H6:I6"/>
    <mergeCell ref="K6:M6"/>
    <mergeCell ref="D4:E4"/>
    <mergeCell ref="F4:G4"/>
    <mergeCell ref="H4:I4"/>
    <mergeCell ref="K4:M4"/>
    <mergeCell ref="D5:E5"/>
    <mergeCell ref="B1:E1"/>
    <mergeCell ref="B2:C2"/>
    <mergeCell ref="D2:E2"/>
    <mergeCell ref="F2:G2"/>
    <mergeCell ref="H2:J2"/>
    <mergeCell ref="M2:N2"/>
    <mergeCell ref="B3:C3"/>
    <mergeCell ref="D3:E3"/>
    <mergeCell ref="N3:P3"/>
    <mergeCell ref="Q23:R30"/>
    <mergeCell ref="AE8:AG8"/>
    <mergeCell ref="AE9:AG9"/>
    <mergeCell ref="AE10:AG10"/>
    <mergeCell ref="AE11:AG11"/>
    <mergeCell ref="AE12:AG12"/>
    <mergeCell ref="AE13:AG13"/>
    <mergeCell ref="AE14:AG14"/>
    <mergeCell ref="AE15:AG15"/>
    <mergeCell ref="AE16:AG16"/>
    <mergeCell ref="B19:R20"/>
    <mergeCell ref="D17:G17"/>
    <mergeCell ref="L17:O17"/>
    <mergeCell ref="D12:G12"/>
    <mergeCell ref="L12:O12"/>
    <mergeCell ref="D16:G16"/>
    <mergeCell ref="L16:O16"/>
    <mergeCell ref="D18:G18"/>
    <mergeCell ref="L18:O18"/>
    <mergeCell ref="B21:E21"/>
    <mergeCell ref="N22:O22"/>
    <mergeCell ref="G21:J21"/>
    <mergeCell ref="K21:L21"/>
    <mergeCell ref="M21:P21"/>
    <mergeCell ref="B32:R32"/>
    <mergeCell ref="AE17:AG17"/>
    <mergeCell ref="AE18:AG18"/>
    <mergeCell ref="AE19:AG19"/>
    <mergeCell ref="AE20:AG20"/>
    <mergeCell ref="AE21:AG21"/>
    <mergeCell ref="AE22:AG22"/>
    <mergeCell ref="H23:I23"/>
    <mergeCell ref="J23:L23"/>
    <mergeCell ref="M23:N30"/>
    <mergeCell ref="H24:I24"/>
    <mergeCell ref="J24:L24"/>
    <mergeCell ref="H25:I25"/>
    <mergeCell ref="B27:L27"/>
    <mergeCell ref="B28:F28"/>
    <mergeCell ref="G28:L28"/>
    <mergeCell ref="G29:L29"/>
    <mergeCell ref="G30:L30"/>
    <mergeCell ref="Q21:R21"/>
    <mergeCell ref="B23:D23"/>
    <mergeCell ref="E23:G23"/>
    <mergeCell ref="B29:F29"/>
    <mergeCell ref="B30:F30"/>
    <mergeCell ref="O23:P30"/>
    <mergeCell ref="B33:E33"/>
    <mergeCell ref="B24:D24"/>
    <mergeCell ref="E24:G24"/>
    <mergeCell ref="B25:D25"/>
    <mergeCell ref="B38:E38"/>
    <mergeCell ref="F38:G38"/>
    <mergeCell ref="H38:R38"/>
    <mergeCell ref="B39:D39"/>
    <mergeCell ref="E39:F39"/>
    <mergeCell ref="G39:R39"/>
    <mergeCell ref="J25:L25"/>
    <mergeCell ref="E26:L26"/>
    <mergeCell ref="F33:G33"/>
    <mergeCell ref="H33:R33"/>
    <mergeCell ref="B34:D34"/>
    <mergeCell ref="E34:F34"/>
    <mergeCell ref="G34:R34"/>
    <mergeCell ref="D35:H35"/>
    <mergeCell ref="M35:P35"/>
    <mergeCell ref="B36:R36"/>
    <mergeCell ref="B37:R37"/>
    <mergeCell ref="B31:R31"/>
    <mergeCell ref="E25:G25"/>
    <mergeCell ref="B26:D26"/>
  </mergeCells>
  <conditionalFormatting sqref="B32:R32">
    <cfRule type="expression" dxfId="23" priority="2">
      <formula>$K$25="لا"</formula>
    </cfRule>
  </conditionalFormatting>
  <conditionalFormatting sqref="B35:R35">
    <cfRule type="expression" dxfId="22" priority="3">
      <formula>#REF!="لا"</formula>
    </cfRule>
  </conditionalFormatting>
  <conditionalFormatting sqref="B36:R37 B38:E38 H38 B39:R39">
    <cfRule type="expression" dxfId="21" priority="4">
      <formula>$K$25="لا"</formula>
    </cfRule>
  </conditionalFormatting>
  <conditionalFormatting sqref="B36:R37 B38:E38 H38:R38 B39:R39">
    <cfRule type="expression" dxfId="20" priority="1">
      <formula>$J$25="لا"</formula>
    </cfRule>
  </conditionalFormatting>
  <conditionalFormatting sqref="C13:I18">
    <cfRule type="expression" dxfId="19" priority="29">
      <formula>$C$13=""</formula>
    </cfRule>
  </conditionalFormatting>
  <conditionalFormatting sqref="C14:I18">
    <cfRule type="expression" dxfId="18" priority="28">
      <formula>$C$14=""</formula>
    </cfRule>
  </conditionalFormatting>
  <conditionalFormatting sqref="C15:I18">
    <cfRule type="expression" dxfId="17" priority="27">
      <formula>$C$15=""</formula>
    </cfRule>
  </conditionalFormatting>
  <conditionalFormatting sqref="C16:I18">
    <cfRule type="expression" dxfId="16" priority="26">
      <formula>$C$16=""</formula>
    </cfRule>
  </conditionalFormatting>
  <conditionalFormatting sqref="C17:I18">
    <cfRule type="expression" dxfId="15" priority="25">
      <formula>$C$17=""</formula>
    </cfRule>
  </conditionalFormatting>
  <conditionalFormatting sqref="C18:I18">
    <cfRule type="expression" dxfId="14" priority="24">
      <formula>$C$18=""</formula>
    </cfRule>
  </conditionalFormatting>
  <conditionalFormatting sqref="C11:Q18">
    <cfRule type="expression" dxfId="13" priority="30">
      <formula>$C$12=""</formula>
    </cfRule>
  </conditionalFormatting>
  <conditionalFormatting sqref="C43:R44">
    <cfRule type="expression" dxfId="12" priority="5">
      <formula>$K$26="لا"</formula>
    </cfRule>
  </conditionalFormatting>
  <conditionalFormatting sqref="K11:Q18">
    <cfRule type="expression" dxfId="11" priority="22">
      <formula>$K$12=""</formula>
    </cfRule>
  </conditionalFormatting>
  <conditionalFormatting sqref="K13:Q18">
    <cfRule type="expression" dxfId="10" priority="21">
      <formula>$K$13=""</formula>
    </cfRule>
  </conditionalFormatting>
  <conditionalFormatting sqref="K14:Q18">
    <cfRule type="expression" dxfId="9" priority="20">
      <formula>$K$14=""</formula>
    </cfRule>
  </conditionalFormatting>
  <conditionalFormatting sqref="K15:Q18">
    <cfRule type="expression" dxfId="8" priority="19">
      <formula>$K$15=""</formula>
    </cfRule>
  </conditionalFormatting>
  <conditionalFormatting sqref="K16:Q18">
    <cfRule type="expression" dxfId="7" priority="18">
      <formula>$K$16=""</formula>
    </cfRule>
  </conditionalFormatting>
  <conditionalFormatting sqref="K17:Q18">
    <cfRule type="expression" dxfId="6" priority="17">
      <formula>$K$17=""</formula>
    </cfRule>
  </conditionalFormatting>
  <conditionalFormatting sqref="K18:Q18">
    <cfRule type="expression" dxfId="5" priority="16">
      <formula>$K$18=""</formula>
    </cfRule>
  </conditionalFormatting>
  <conditionalFormatting sqref="AC1">
    <cfRule type="expression" dxfId="4" priority="7">
      <formula>AC1&lt;&gt;""</formula>
    </cfRule>
  </conditionalFormatting>
  <conditionalFormatting sqref="AD1:AH2">
    <cfRule type="expression" dxfId="3" priority="6">
      <formula>$AD$1&lt;&gt;""</formula>
    </cfRule>
  </conditionalFormatting>
  <conditionalFormatting sqref="AE3:AE22">
    <cfRule type="expression" dxfId="2" priority="8">
      <formula>AE3&lt;&gt;""</formula>
    </cfRule>
  </conditionalFormatting>
  <printOptions horizontalCentered="1" verticalCentered="1"/>
  <pageMargins left="0.19685039370078741" right="0.19685039370078741" top="0.19685039370078741" bottom="0.19685039370078741" header="0.11811023622047245" footer="0.11811023622047245"/>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DY5"/>
  <sheetViews>
    <sheetView showGridLines="0" rightToLeft="1" zoomScale="98" zoomScaleNormal="98" workbookViewId="0">
      <pane ySplit="4" topLeftCell="A5" activePane="bottomLeft" state="frozen"/>
      <selection pane="bottomLeft" activeCell="E28" sqref="E28"/>
    </sheetView>
  </sheetViews>
  <sheetFormatPr defaultColWidth="9" defaultRowHeight="13.8" x14ac:dyDescent="0.25"/>
  <cols>
    <col min="1" max="1" width="13.8984375" style="1" customWidth="1"/>
    <col min="2" max="2" width="10.8984375" style="1" bestFit="1" customWidth="1"/>
    <col min="3" max="4" width="9" style="1"/>
    <col min="5" max="5" width="10.09765625" style="1" bestFit="1" customWidth="1"/>
    <col min="6" max="6" width="11.19921875" style="206" bestFit="1" customWidth="1"/>
    <col min="7" max="7" width="11.19921875" style="206" customWidth="1"/>
    <col min="8" max="8" width="13.19921875" style="1" customWidth="1"/>
    <col min="9" max="9" width="10.19921875" style="1" bestFit="1" customWidth="1"/>
    <col min="10" max="10" width="11.69921875" style="1" bestFit="1" customWidth="1"/>
    <col min="11" max="11" width="21.8984375" style="1" customWidth="1"/>
    <col min="12" max="12" width="24.19921875" style="1" customWidth="1"/>
    <col min="13" max="13" width="17.69921875" style="1" customWidth="1"/>
    <col min="14" max="14" width="20.09765625" style="1" customWidth="1"/>
    <col min="15" max="15" width="31.69921875" style="1" customWidth="1"/>
    <col min="16" max="17" width="14.69921875" style="1" customWidth="1"/>
    <col min="18" max="18" width="19.09765625" style="1" customWidth="1"/>
    <col min="19" max="19" width="14.09765625" style="1" customWidth="1"/>
    <col min="20" max="20" width="6.8984375" style="1" bestFit="1" customWidth="1"/>
    <col min="21" max="48" width="4.19921875" style="1" customWidth="1"/>
    <col min="49" max="49" width="4" style="1" customWidth="1"/>
    <col min="50" max="99" width="4.19921875" style="1" customWidth="1"/>
    <col min="100" max="100" width="9.09765625" style="1" bestFit="1" customWidth="1"/>
    <col min="101" max="101" width="11.19921875" style="1" bestFit="1" customWidth="1"/>
    <col min="102" max="102" width="9.09765625" style="1" bestFit="1" customWidth="1"/>
    <col min="103" max="103" width="9.09765625" style="1" customWidth="1"/>
    <col min="104" max="105" width="9" style="1"/>
    <col min="106" max="106" width="10.09765625" style="1" bestFit="1" customWidth="1"/>
    <col min="107" max="107" width="10.09765625" style="1" customWidth="1"/>
    <col min="108" max="108" width="11.19921875" style="1" bestFit="1" customWidth="1"/>
    <col min="109" max="109" width="10.69921875" style="1" bestFit="1" customWidth="1"/>
    <col min="110" max="110" width="13.19921875" style="1" bestFit="1" customWidth="1"/>
    <col min="111" max="111" width="9.19921875" style="1" bestFit="1" customWidth="1"/>
    <col min="112" max="112" width="9.19921875" style="1" customWidth="1"/>
    <col min="113" max="113" width="6.19921875" style="1" bestFit="1" customWidth="1"/>
    <col min="114" max="117" width="9" style="1"/>
    <col min="118" max="118" width="12.19921875" style="1" bestFit="1" customWidth="1"/>
    <col min="119" max="119" width="13.19921875" style="1" bestFit="1" customWidth="1"/>
    <col min="120" max="16384" width="9" style="1"/>
  </cols>
  <sheetData>
    <row r="1" spans="1:129" s="175" customFormat="1" ht="18" thickBot="1" x14ac:dyDescent="0.3">
      <c r="A1" s="539"/>
      <c r="B1" s="540">
        <v>9999</v>
      </c>
      <c r="C1" s="541" t="s">
        <v>33</v>
      </c>
      <c r="D1" s="541"/>
      <c r="E1" s="541"/>
      <c r="F1" s="541"/>
      <c r="G1" s="541"/>
      <c r="H1" s="541"/>
      <c r="I1" s="541"/>
      <c r="J1" s="541"/>
      <c r="K1" s="542" t="s">
        <v>16</v>
      </c>
      <c r="L1" s="544" t="s">
        <v>66</v>
      </c>
      <c r="M1" s="537" t="s">
        <v>64</v>
      </c>
      <c r="N1" s="537" t="s">
        <v>65</v>
      </c>
      <c r="O1" s="547" t="s">
        <v>55</v>
      </c>
      <c r="P1" s="541" t="s">
        <v>34</v>
      </c>
      <c r="Q1" s="541"/>
      <c r="R1" s="541"/>
      <c r="S1" s="520" t="s">
        <v>9</v>
      </c>
      <c r="T1" s="522" t="s">
        <v>35</v>
      </c>
      <c r="U1" s="523"/>
      <c r="V1" s="523"/>
      <c r="W1" s="523"/>
      <c r="X1" s="523"/>
      <c r="Y1" s="523"/>
      <c r="Z1" s="523"/>
      <c r="AA1" s="523"/>
      <c r="AB1" s="523"/>
      <c r="AC1" s="523"/>
      <c r="AD1" s="523"/>
      <c r="AE1" s="523"/>
      <c r="AF1" s="523"/>
      <c r="AG1" s="523"/>
      <c r="AH1" s="523"/>
      <c r="AI1" s="523"/>
      <c r="AJ1" s="523"/>
      <c r="AK1" s="523"/>
      <c r="AL1" s="523"/>
      <c r="AM1" s="524"/>
      <c r="AN1" s="522" t="s">
        <v>21</v>
      </c>
      <c r="AO1" s="523"/>
      <c r="AP1" s="523"/>
      <c r="AQ1" s="523"/>
      <c r="AR1" s="523"/>
      <c r="AS1" s="523"/>
      <c r="AT1" s="523"/>
      <c r="AU1" s="523"/>
      <c r="AV1" s="523"/>
      <c r="AW1" s="523"/>
      <c r="AX1" s="523"/>
      <c r="AY1" s="523"/>
      <c r="AZ1" s="523"/>
      <c r="BA1" s="523"/>
      <c r="BB1" s="523"/>
      <c r="BC1" s="523"/>
      <c r="BD1" s="523"/>
      <c r="BE1" s="523"/>
      <c r="BF1" s="523"/>
      <c r="BG1" s="524"/>
      <c r="BH1" s="522" t="s">
        <v>36</v>
      </c>
      <c r="BI1" s="523"/>
      <c r="BJ1" s="523"/>
      <c r="BK1" s="523"/>
      <c r="BL1" s="523"/>
      <c r="BM1" s="523"/>
      <c r="BN1" s="523"/>
      <c r="BO1" s="523"/>
      <c r="BP1" s="523"/>
      <c r="BQ1" s="523"/>
      <c r="BR1" s="523"/>
      <c r="BS1" s="523"/>
      <c r="BT1" s="523"/>
      <c r="BU1" s="523"/>
      <c r="BV1" s="523"/>
      <c r="BW1" s="523"/>
      <c r="BX1" s="523"/>
      <c r="BY1" s="523"/>
      <c r="BZ1" s="523"/>
      <c r="CA1" s="524"/>
      <c r="CB1" s="522" t="s">
        <v>37</v>
      </c>
      <c r="CC1" s="523"/>
      <c r="CD1" s="523"/>
      <c r="CE1" s="523"/>
      <c r="CF1" s="523"/>
      <c r="CG1" s="523"/>
      <c r="CH1" s="523"/>
      <c r="CI1" s="523"/>
      <c r="CJ1" s="523"/>
      <c r="CK1" s="523"/>
      <c r="CL1" s="523"/>
      <c r="CM1" s="523"/>
      <c r="CN1" s="523"/>
      <c r="CO1" s="523"/>
      <c r="CP1" s="523"/>
      <c r="CQ1" s="523"/>
      <c r="CR1" s="523"/>
      <c r="CS1" s="523"/>
      <c r="CT1" s="523"/>
      <c r="CU1" s="524"/>
      <c r="CV1" s="559" t="s">
        <v>1</v>
      </c>
      <c r="CW1" s="560"/>
      <c r="CX1" s="561"/>
      <c r="CY1" s="561"/>
      <c r="CZ1" s="565" t="s">
        <v>206</v>
      </c>
      <c r="DA1" s="566"/>
      <c r="DB1" s="566"/>
      <c r="DC1" s="566"/>
      <c r="DD1" s="566"/>
      <c r="DE1" s="566"/>
      <c r="DF1" s="566"/>
      <c r="DG1" s="566"/>
      <c r="DH1" s="565" t="s">
        <v>38</v>
      </c>
      <c r="DI1" s="566"/>
      <c r="DJ1" s="566"/>
      <c r="DK1" s="567"/>
      <c r="DL1" s="565" t="s">
        <v>207</v>
      </c>
      <c r="DM1" s="566"/>
      <c r="DN1" s="566"/>
      <c r="DO1" s="567"/>
      <c r="DP1" s="87"/>
      <c r="DQ1" s="87"/>
      <c r="DR1" s="87"/>
      <c r="DS1" s="87"/>
    </row>
    <row r="2" spans="1:129" s="175" customFormat="1" ht="18" thickBot="1" x14ac:dyDescent="0.3">
      <c r="A2" s="539"/>
      <c r="B2" s="540"/>
      <c r="C2" s="541"/>
      <c r="D2" s="541"/>
      <c r="E2" s="541"/>
      <c r="F2" s="541"/>
      <c r="G2" s="541"/>
      <c r="H2" s="541"/>
      <c r="I2" s="541"/>
      <c r="J2" s="541"/>
      <c r="K2" s="543"/>
      <c r="L2" s="545"/>
      <c r="M2" s="538"/>
      <c r="N2" s="538"/>
      <c r="O2" s="548"/>
      <c r="P2" s="541"/>
      <c r="Q2" s="541"/>
      <c r="R2" s="541"/>
      <c r="S2" s="520"/>
      <c r="T2" s="525" t="s">
        <v>17</v>
      </c>
      <c r="U2" s="526"/>
      <c r="V2" s="526"/>
      <c r="W2" s="526"/>
      <c r="X2" s="526"/>
      <c r="Y2" s="526"/>
      <c r="Z2" s="526"/>
      <c r="AA2" s="526"/>
      <c r="AB2" s="526"/>
      <c r="AC2" s="527"/>
      <c r="AD2" s="526" t="s">
        <v>18</v>
      </c>
      <c r="AE2" s="526"/>
      <c r="AF2" s="526"/>
      <c r="AG2" s="526"/>
      <c r="AH2" s="526"/>
      <c r="AI2" s="526"/>
      <c r="AJ2" s="526"/>
      <c r="AK2" s="526"/>
      <c r="AL2" s="526"/>
      <c r="AM2" s="528"/>
      <c r="AN2" s="525" t="s">
        <v>17</v>
      </c>
      <c r="AO2" s="526"/>
      <c r="AP2" s="526"/>
      <c r="AQ2" s="526"/>
      <c r="AR2" s="526"/>
      <c r="AS2" s="526"/>
      <c r="AT2" s="526"/>
      <c r="AU2" s="526"/>
      <c r="AV2" s="526"/>
      <c r="AW2" s="527"/>
      <c r="AX2" s="526" t="s">
        <v>18</v>
      </c>
      <c r="AY2" s="526"/>
      <c r="AZ2" s="526"/>
      <c r="BA2" s="526"/>
      <c r="BB2" s="526"/>
      <c r="BC2" s="526"/>
      <c r="BD2" s="526"/>
      <c r="BE2" s="526"/>
      <c r="BF2" s="526"/>
      <c r="BG2" s="528"/>
      <c r="BH2" s="525" t="s">
        <v>17</v>
      </c>
      <c r="BI2" s="526"/>
      <c r="BJ2" s="526"/>
      <c r="BK2" s="526"/>
      <c r="BL2" s="526"/>
      <c r="BM2" s="526"/>
      <c r="BN2" s="526"/>
      <c r="BO2" s="526"/>
      <c r="BP2" s="526"/>
      <c r="BQ2" s="527"/>
      <c r="BR2" s="526" t="s">
        <v>18</v>
      </c>
      <c r="BS2" s="526"/>
      <c r="BT2" s="526"/>
      <c r="BU2" s="526"/>
      <c r="BV2" s="526"/>
      <c r="BW2" s="526"/>
      <c r="BX2" s="526"/>
      <c r="BY2" s="526"/>
      <c r="BZ2" s="526"/>
      <c r="CA2" s="528"/>
      <c r="CB2" s="525" t="s">
        <v>17</v>
      </c>
      <c r="CC2" s="526"/>
      <c r="CD2" s="526"/>
      <c r="CE2" s="526"/>
      <c r="CF2" s="526"/>
      <c r="CG2" s="526"/>
      <c r="CH2" s="526"/>
      <c r="CI2" s="526"/>
      <c r="CJ2" s="526"/>
      <c r="CK2" s="527"/>
      <c r="CL2" s="526" t="s">
        <v>18</v>
      </c>
      <c r="CM2" s="526"/>
      <c r="CN2" s="526"/>
      <c r="CO2" s="526"/>
      <c r="CP2" s="526"/>
      <c r="CQ2" s="526"/>
      <c r="CR2" s="526"/>
      <c r="CS2" s="526"/>
      <c r="CT2" s="526"/>
      <c r="CU2" s="528"/>
      <c r="CV2" s="562"/>
      <c r="CW2" s="563"/>
      <c r="CX2" s="564"/>
      <c r="CY2" s="564"/>
      <c r="CZ2" s="562"/>
      <c r="DA2" s="563"/>
      <c r="DB2" s="563"/>
      <c r="DC2" s="563"/>
      <c r="DD2" s="563"/>
      <c r="DE2" s="563"/>
      <c r="DF2" s="563"/>
      <c r="DG2" s="563"/>
      <c r="DH2" s="562"/>
      <c r="DI2" s="563"/>
      <c r="DJ2" s="563"/>
      <c r="DK2" s="564"/>
      <c r="DL2" s="562"/>
      <c r="DM2" s="563"/>
      <c r="DN2" s="563"/>
      <c r="DO2" s="564"/>
      <c r="DP2" s="87"/>
      <c r="DQ2" s="87"/>
      <c r="DR2" s="87"/>
      <c r="DS2" s="87"/>
    </row>
    <row r="3" spans="1:129" ht="80.25" customHeight="1" thickBot="1" x14ac:dyDescent="0.3">
      <c r="A3" s="176" t="s">
        <v>2</v>
      </c>
      <c r="B3" s="177" t="s">
        <v>39</v>
      </c>
      <c r="C3" s="177" t="s">
        <v>40</v>
      </c>
      <c r="D3" s="177" t="s">
        <v>41</v>
      </c>
      <c r="E3" s="177" t="s">
        <v>6</v>
      </c>
      <c r="F3" s="178" t="s">
        <v>7</v>
      </c>
      <c r="G3" s="178" t="s">
        <v>87</v>
      </c>
      <c r="H3" s="177" t="s">
        <v>52</v>
      </c>
      <c r="I3" s="177" t="s">
        <v>11</v>
      </c>
      <c r="J3" s="177" t="s">
        <v>10</v>
      </c>
      <c r="K3" s="543"/>
      <c r="L3" s="545"/>
      <c r="M3" s="538"/>
      <c r="N3" s="538"/>
      <c r="O3" s="548"/>
      <c r="P3" s="529" t="s">
        <v>27</v>
      </c>
      <c r="Q3" s="529" t="s">
        <v>42</v>
      </c>
      <c r="R3" s="532" t="s">
        <v>14</v>
      </c>
      <c r="S3" s="520"/>
      <c r="T3" s="535" t="s">
        <v>256</v>
      </c>
      <c r="U3" s="515"/>
      <c r="V3" s="514" t="s">
        <v>257</v>
      </c>
      <c r="W3" s="515"/>
      <c r="X3" s="514" t="s">
        <v>258</v>
      </c>
      <c r="Y3" s="515"/>
      <c r="Z3" s="514" t="s">
        <v>219</v>
      </c>
      <c r="AA3" s="515"/>
      <c r="AB3" s="514" t="s">
        <v>259</v>
      </c>
      <c r="AC3" s="516"/>
      <c r="AD3" s="517" t="s">
        <v>221</v>
      </c>
      <c r="AE3" s="515"/>
      <c r="AF3" s="514" t="s">
        <v>260</v>
      </c>
      <c r="AG3" s="515"/>
      <c r="AH3" s="514" t="s">
        <v>261</v>
      </c>
      <c r="AI3" s="515"/>
      <c r="AJ3" s="514" t="s">
        <v>224</v>
      </c>
      <c r="AK3" s="515"/>
      <c r="AL3" s="514" t="s">
        <v>259</v>
      </c>
      <c r="AM3" s="519"/>
      <c r="AN3" s="535" t="s">
        <v>226</v>
      </c>
      <c r="AO3" s="515"/>
      <c r="AP3" s="514" t="s">
        <v>262</v>
      </c>
      <c r="AQ3" s="515"/>
      <c r="AR3" s="514" t="s">
        <v>263</v>
      </c>
      <c r="AS3" s="515"/>
      <c r="AT3" s="514" t="s">
        <v>264</v>
      </c>
      <c r="AU3" s="515"/>
      <c r="AV3" s="514" t="s">
        <v>230</v>
      </c>
      <c r="AW3" s="516"/>
      <c r="AX3" s="517" t="s">
        <v>265</v>
      </c>
      <c r="AY3" s="515"/>
      <c r="AZ3" s="514" t="s">
        <v>232</v>
      </c>
      <c r="BA3" s="515"/>
      <c r="BB3" s="514" t="s">
        <v>233</v>
      </c>
      <c r="BC3" s="515"/>
      <c r="BD3" s="514" t="s">
        <v>266</v>
      </c>
      <c r="BE3" s="515"/>
      <c r="BF3" s="514" t="s">
        <v>235</v>
      </c>
      <c r="BG3" s="519"/>
      <c r="BH3" s="535" t="s">
        <v>267</v>
      </c>
      <c r="BI3" s="515"/>
      <c r="BJ3" s="514" t="s">
        <v>237</v>
      </c>
      <c r="BK3" s="515"/>
      <c r="BL3" s="514" t="s">
        <v>268</v>
      </c>
      <c r="BM3" s="515"/>
      <c r="BN3" s="514" t="s">
        <v>269</v>
      </c>
      <c r="BO3" s="515"/>
      <c r="BP3" s="514" t="s">
        <v>270</v>
      </c>
      <c r="BQ3" s="516"/>
      <c r="BR3" s="517" t="s">
        <v>271</v>
      </c>
      <c r="BS3" s="515"/>
      <c r="BT3" s="514" t="s">
        <v>247</v>
      </c>
      <c r="BU3" s="515"/>
      <c r="BV3" s="514" t="s">
        <v>272</v>
      </c>
      <c r="BW3" s="515"/>
      <c r="BX3" s="514" t="s">
        <v>269</v>
      </c>
      <c r="BY3" s="515"/>
      <c r="BZ3" s="514" t="s">
        <v>273</v>
      </c>
      <c r="CA3" s="519"/>
      <c r="CB3" s="535" t="s">
        <v>241</v>
      </c>
      <c r="CC3" s="515"/>
      <c r="CD3" s="514" t="s">
        <v>274</v>
      </c>
      <c r="CE3" s="515"/>
      <c r="CF3" s="514" t="s">
        <v>275</v>
      </c>
      <c r="CG3" s="515"/>
      <c r="CH3" s="514" t="s">
        <v>244</v>
      </c>
      <c r="CI3" s="515"/>
      <c r="CJ3" s="514" t="s">
        <v>276</v>
      </c>
      <c r="CK3" s="516"/>
      <c r="CL3" s="517" t="s">
        <v>271</v>
      </c>
      <c r="CM3" s="515"/>
      <c r="CN3" s="514" t="s">
        <v>274</v>
      </c>
      <c r="CO3" s="515"/>
      <c r="CP3" s="514" t="s">
        <v>277</v>
      </c>
      <c r="CQ3" s="515"/>
      <c r="CR3" s="514" t="s">
        <v>254</v>
      </c>
      <c r="CS3" s="515"/>
      <c r="CT3" s="514" t="s">
        <v>278</v>
      </c>
      <c r="CU3" s="519"/>
      <c r="CV3" s="549" t="s">
        <v>43</v>
      </c>
      <c r="CW3" s="557" t="s">
        <v>0</v>
      </c>
      <c r="CX3" s="552" t="s">
        <v>44</v>
      </c>
      <c r="CY3" s="552" t="s">
        <v>71</v>
      </c>
      <c r="CZ3" s="554" t="s">
        <v>208</v>
      </c>
      <c r="DA3" s="555" t="s">
        <v>209</v>
      </c>
      <c r="DB3" s="556" t="s">
        <v>25</v>
      </c>
      <c r="DC3" s="556" t="s">
        <v>139</v>
      </c>
      <c r="DD3" s="556" t="s">
        <v>23</v>
      </c>
      <c r="DE3" s="556" t="s">
        <v>46</v>
      </c>
      <c r="DF3" s="551" t="s">
        <v>24</v>
      </c>
      <c r="DG3" s="551" t="s">
        <v>26</v>
      </c>
      <c r="DH3" s="578" t="s">
        <v>47</v>
      </c>
      <c r="DI3" s="570" t="s">
        <v>78</v>
      </c>
      <c r="DJ3" s="570" t="s">
        <v>79</v>
      </c>
      <c r="DK3" s="572" t="s">
        <v>48</v>
      </c>
      <c r="DL3" s="574" t="s">
        <v>86</v>
      </c>
      <c r="DM3" s="576" t="s">
        <v>85</v>
      </c>
      <c r="DN3" s="576" t="s">
        <v>84</v>
      </c>
      <c r="DO3" s="568" t="s">
        <v>83</v>
      </c>
      <c r="DP3" s="509" t="s">
        <v>147</v>
      </c>
      <c r="DQ3" s="510"/>
      <c r="DR3" s="510"/>
      <c r="DS3" s="510"/>
      <c r="DT3" s="510"/>
      <c r="DU3" s="510"/>
      <c r="DV3" s="511" t="s">
        <v>214</v>
      </c>
      <c r="DW3" s="179"/>
      <c r="DX3" s="179"/>
      <c r="DY3" s="58"/>
    </row>
    <row r="4" spans="1:129" s="59" customFormat="1" ht="24.9" customHeight="1" thickBot="1" x14ac:dyDescent="0.3">
      <c r="A4" s="180" t="s">
        <v>2</v>
      </c>
      <c r="B4" s="181" t="s">
        <v>39</v>
      </c>
      <c r="C4" s="181" t="s">
        <v>40</v>
      </c>
      <c r="D4" s="181" t="s">
        <v>41</v>
      </c>
      <c r="E4" s="181" t="s">
        <v>6</v>
      </c>
      <c r="F4" s="182" t="s">
        <v>7</v>
      </c>
      <c r="G4" s="182"/>
      <c r="H4" s="181"/>
      <c r="I4" s="181" t="s">
        <v>11</v>
      </c>
      <c r="J4" s="181" t="s">
        <v>10</v>
      </c>
      <c r="K4" s="543"/>
      <c r="L4" s="546"/>
      <c r="M4" s="538"/>
      <c r="N4" s="538"/>
      <c r="O4" s="548"/>
      <c r="P4" s="530"/>
      <c r="Q4" s="530"/>
      <c r="R4" s="533"/>
      <c r="S4" s="521"/>
      <c r="T4" s="534">
        <v>111</v>
      </c>
      <c r="U4" s="513"/>
      <c r="V4" s="512">
        <v>112</v>
      </c>
      <c r="W4" s="513"/>
      <c r="X4" s="512">
        <v>113</v>
      </c>
      <c r="Y4" s="513"/>
      <c r="Z4" s="512">
        <v>114</v>
      </c>
      <c r="AA4" s="513"/>
      <c r="AB4" s="512">
        <v>115</v>
      </c>
      <c r="AC4" s="518"/>
      <c r="AD4" s="531">
        <v>121</v>
      </c>
      <c r="AE4" s="513"/>
      <c r="AF4" s="512">
        <v>122</v>
      </c>
      <c r="AG4" s="513"/>
      <c r="AH4" s="512">
        <v>123</v>
      </c>
      <c r="AI4" s="513"/>
      <c r="AJ4" s="512">
        <v>124</v>
      </c>
      <c r="AK4" s="513"/>
      <c r="AL4" s="512">
        <v>125</v>
      </c>
      <c r="AM4" s="536"/>
      <c r="AN4" s="534">
        <v>211</v>
      </c>
      <c r="AO4" s="513"/>
      <c r="AP4" s="512">
        <v>212</v>
      </c>
      <c r="AQ4" s="513"/>
      <c r="AR4" s="512">
        <v>213</v>
      </c>
      <c r="AS4" s="513"/>
      <c r="AT4" s="512">
        <v>214</v>
      </c>
      <c r="AU4" s="513"/>
      <c r="AV4" s="512">
        <v>215</v>
      </c>
      <c r="AW4" s="518"/>
      <c r="AX4" s="531">
        <v>221</v>
      </c>
      <c r="AY4" s="513"/>
      <c r="AZ4" s="512">
        <v>222</v>
      </c>
      <c r="BA4" s="513"/>
      <c r="BB4" s="512">
        <v>223</v>
      </c>
      <c r="BC4" s="513"/>
      <c r="BD4" s="512">
        <v>224</v>
      </c>
      <c r="BE4" s="513"/>
      <c r="BF4" s="512">
        <v>225</v>
      </c>
      <c r="BG4" s="536"/>
      <c r="BH4" s="534">
        <v>311</v>
      </c>
      <c r="BI4" s="513"/>
      <c r="BJ4" s="512">
        <v>312</v>
      </c>
      <c r="BK4" s="513"/>
      <c r="BL4" s="512">
        <v>313</v>
      </c>
      <c r="BM4" s="513"/>
      <c r="BN4" s="512">
        <v>314</v>
      </c>
      <c r="BO4" s="513"/>
      <c r="BP4" s="512">
        <v>315</v>
      </c>
      <c r="BQ4" s="518"/>
      <c r="BR4" s="531">
        <v>321</v>
      </c>
      <c r="BS4" s="513"/>
      <c r="BT4" s="512">
        <v>322</v>
      </c>
      <c r="BU4" s="513"/>
      <c r="BV4" s="512">
        <v>323</v>
      </c>
      <c r="BW4" s="513"/>
      <c r="BX4" s="512">
        <v>324</v>
      </c>
      <c r="BY4" s="513"/>
      <c r="BZ4" s="512">
        <v>325</v>
      </c>
      <c r="CA4" s="536"/>
      <c r="CB4" s="534">
        <v>411</v>
      </c>
      <c r="CC4" s="513"/>
      <c r="CD4" s="512">
        <v>412</v>
      </c>
      <c r="CE4" s="513"/>
      <c r="CF4" s="512">
        <v>413</v>
      </c>
      <c r="CG4" s="513"/>
      <c r="CH4" s="512">
        <v>414</v>
      </c>
      <c r="CI4" s="513"/>
      <c r="CJ4" s="512">
        <v>415</v>
      </c>
      <c r="CK4" s="518"/>
      <c r="CL4" s="531">
        <v>421</v>
      </c>
      <c r="CM4" s="513"/>
      <c r="CN4" s="512">
        <v>422</v>
      </c>
      <c r="CO4" s="513"/>
      <c r="CP4" s="512">
        <v>423</v>
      </c>
      <c r="CQ4" s="513"/>
      <c r="CR4" s="512">
        <v>424</v>
      </c>
      <c r="CS4" s="513"/>
      <c r="CT4" s="512">
        <v>425</v>
      </c>
      <c r="CU4" s="536"/>
      <c r="CV4" s="550"/>
      <c r="CW4" s="558"/>
      <c r="CX4" s="553"/>
      <c r="CY4" s="553"/>
      <c r="CZ4" s="554"/>
      <c r="DA4" s="555"/>
      <c r="DB4" s="556"/>
      <c r="DC4" s="556"/>
      <c r="DD4" s="556"/>
      <c r="DE4" s="556"/>
      <c r="DF4" s="551"/>
      <c r="DG4" s="551"/>
      <c r="DH4" s="579"/>
      <c r="DI4" s="571"/>
      <c r="DJ4" s="571"/>
      <c r="DK4" s="573"/>
      <c r="DL4" s="575"/>
      <c r="DM4" s="577"/>
      <c r="DN4" s="577"/>
      <c r="DO4" s="569"/>
      <c r="DP4" s="509"/>
      <c r="DQ4" s="510"/>
      <c r="DR4" s="510"/>
      <c r="DS4" s="510"/>
      <c r="DT4" s="510"/>
      <c r="DU4" s="510"/>
      <c r="DV4" s="511"/>
    </row>
    <row r="5" spans="1:129" s="81" customFormat="1" ht="24.9" customHeight="1" x14ac:dyDescent="0.65">
      <c r="A5" s="183">
        <f>'اختيار المقررات'!F1</f>
        <v>0</v>
      </c>
      <c r="B5" s="183">
        <f>'اختيار المقررات'!M1</f>
        <v>0</v>
      </c>
      <c r="C5" s="183">
        <f>'اختيار المقررات'!R1</f>
        <v>0</v>
      </c>
      <c r="D5" s="183">
        <f>'اختيار المقررات'!X1</f>
        <v>0</v>
      </c>
      <c r="E5" s="183">
        <f>'اختيار المقررات'!AF1</f>
        <v>0</v>
      </c>
      <c r="F5" s="184">
        <f>'اختيار المقررات'!AC1</f>
        <v>0</v>
      </c>
      <c r="G5" s="183">
        <f>'اختيار المقررات'!AC3</f>
        <v>0</v>
      </c>
      <c r="H5" s="185">
        <f>'اختيار المقررات'!R3</f>
        <v>0</v>
      </c>
      <c r="I5" s="183">
        <f>'اختيار المقررات'!F3</f>
        <v>0</v>
      </c>
      <c r="J5" s="186">
        <f>'اختيار المقررات'!M3</f>
        <v>0</v>
      </c>
      <c r="K5" s="187" t="str">
        <f>'اختيار المقررات'!X3</f>
        <v>غير سوري</v>
      </c>
      <c r="L5" s="187">
        <f>'اختيار المقررات'!AF3</f>
        <v>0</v>
      </c>
      <c r="M5" s="187">
        <f>'اختيار المقررات'!X4</f>
        <v>0</v>
      </c>
      <c r="N5" s="187">
        <f>'اختيار المقررات'!AC4</f>
        <v>0</v>
      </c>
      <c r="O5" s="186">
        <f>'اختيار المقررات'!AF4</f>
        <v>0</v>
      </c>
      <c r="P5" s="188">
        <f>'اختيار المقررات'!F4</f>
        <v>0</v>
      </c>
      <c r="Q5" s="183">
        <f>'اختيار المقررات'!M4</f>
        <v>0</v>
      </c>
      <c r="R5" s="186">
        <f>'اختيار المقررات'!R4</f>
        <v>0</v>
      </c>
      <c r="S5" s="189">
        <f>'اختيار المقررات'!F2</f>
        <v>0</v>
      </c>
      <c r="T5" s="190" t="str">
        <f>IFERROR(IF(OR(T4=الإستمارة!$C$12,T4=الإستمارة!$C$13,T4=الإستمارة!$C$14,T4=الإستمارة!$C$15,T4=الإستمارة!$C$16,T4=الإستمارة!$C$17,T4=الإستمارة!$C$18),VLOOKUP(T4,الإستمارة!$C$12:$H$19,6,0),VLOOKUP(T4,الإستمارة!$K$12:$P$19,6,0)),"")</f>
        <v/>
      </c>
      <c r="U5" s="191">
        <f>'اختيار المقررات'!J8</f>
        <v>0</v>
      </c>
      <c r="V5" s="190" t="str">
        <f>IFERROR(IF(OR(V4=الإستمارة!$C$12,V4=الإستمارة!$C$13,V4=الإستمارة!$C$14,V4=الإستمارة!$C$15,V4=الإستمارة!$C$16,V4=الإستمارة!$C$17,V4=الإستمارة!$C$18),VLOOKUP(V4,الإستمارة!$C$12:$H$19,6,0),VLOOKUP(V4,الإستمارة!$K$12:$P$19,6,0)),"")</f>
        <v/>
      </c>
      <c r="W5" s="191">
        <f>'اختيار المقررات'!J9</f>
        <v>0</v>
      </c>
      <c r="X5" s="190" t="str">
        <f>IFERROR(IF(OR(X4=الإستمارة!$C$12,X4=الإستمارة!$C$13,X4=الإستمارة!$C$14,X4=الإستمارة!$C$15,X4=الإستمارة!$C$16,X4=الإستمارة!$C$17,X4=الإستمارة!$C$18),VLOOKUP(X4,الإستمارة!$C$12:$H$19,6,0),VLOOKUP(X4,الإستمارة!$K$12:$P$19,6,0)),"")</f>
        <v/>
      </c>
      <c r="Y5" s="191">
        <f>'اختيار المقررات'!J10</f>
        <v>0</v>
      </c>
      <c r="Z5" s="190" t="str">
        <f>IFERROR(IF(OR(Z4=الإستمارة!$C$12,Z4=الإستمارة!$C$13,Z4=الإستمارة!$C$14,Z4=الإستمارة!$C$15,Z4=الإستمارة!$C$16,Z4=الإستمارة!$C$17,Z4=الإستمارة!$C$18),VLOOKUP(Z4,الإستمارة!$C$12:$H$19,6,0),VLOOKUP(Z4,الإستمارة!$K$12:$P$19,6,0)),"")</f>
        <v/>
      </c>
      <c r="AA5" s="191">
        <f>'اختيار المقررات'!J11</f>
        <v>0</v>
      </c>
      <c r="AB5" s="190" t="str">
        <f>IFERROR(IF(OR(AB4=الإستمارة!$C$12,AB4=الإستمارة!$C$13,AB4=الإستمارة!$C$14,AB4=الإستمارة!$C$15,AB4=الإستمارة!$C$16,AB4=الإستمارة!$C$17,AB4=الإستمارة!$C$18),VLOOKUP(AB4,الإستمارة!$C$12:$H$19,6,0),VLOOKUP(AB4,الإستمارة!$K$12:$P$19,6,0)),"")</f>
        <v/>
      </c>
      <c r="AC5" s="191">
        <f>'اختيار المقررات'!J12</f>
        <v>0</v>
      </c>
      <c r="AD5" s="192" t="str">
        <f>IFERROR(IF(OR(AD4=الإستمارة!$C$12,AD4=الإستمارة!$C$13,AD4=الإستمارة!$C$14,AD4=الإستمارة!$C$15,AD4=الإستمارة!$C$16,AD4=الإستمارة!$C$17,AD4=الإستمارة!$C$18),VLOOKUP(AD4,الإستمارة!$C$12:$H$19,6,0),VLOOKUP(AD4,الإستمارة!$K$12:$P$19,6,0)),"")</f>
        <v/>
      </c>
      <c r="AE5" s="193">
        <f>'اختيار المقررات'!R8</f>
        <v>0</v>
      </c>
      <c r="AF5" s="194" t="str">
        <f>IFERROR(IF(OR(AF4=الإستمارة!$C$12,AF4=الإستمارة!$C$13,AF4=الإستمارة!$C$14,AF4=الإستمارة!$C$15,AF4=الإستمارة!$C$16,AF4=الإستمارة!$C$17,AF4=الإستمارة!$C$18),VLOOKUP(AF4,الإستمارة!$C$12:$H$19,6,0),VLOOKUP(AF4,الإستمارة!$K$12:$P$19,6,0)),"")</f>
        <v/>
      </c>
      <c r="AG5" s="191">
        <f>'اختيار المقررات'!R9</f>
        <v>0</v>
      </c>
      <c r="AH5" s="192" t="str">
        <f>IFERROR(IF(OR(AH4=الإستمارة!$C$12,AH4=الإستمارة!$C$13,AH4=الإستمارة!$C$14,AH4=الإستمارة!$C$15,AH4=الإستمارة!$C$16,AH4=الإستمارة!$C$17,AH4=الإستمارة!$C$18),VLOOKUP(AH4,الإستمارة!$C$12:$H$19,6,0),VLOOKUP(AH4,الإستمارة!$K$12:$P$19,6,0)),"")</f>
        <v/>
      </c>
      <c r="AI5" s="191">
        <f>'اختيار المقررات'!R10</f>
        <v>0</v>
      </c>
      <c r="AJ5" s="192" t="str">
        <f>IFERROR(IF(OR(AJ4=الإستمارة!$C$12,AJ4=الإستمارة!$C$13,AJ4=الإستمارة!$C$14,AJ4=الإستمارة!$C$15,AJ4=الإستمارة!$C$16,AJ4=الإستمارة!$C$17,AJ4=الإستمارة!$C$18),VLOOKUP(AJ4,الإستمارة!$C$12:$H$19,6,0),VLOOKUP(AJ4,الإستمارة!$K$12:$P$19,6,0)),"")</f>
        <v/>
      </c>
      <c r="AK5" s="191">
        <f>'اختيار المقررات'!R11</f>
        <v>0</v>
      </c>
      <c r="AL5" s="192" t="str">
        <f>IFERROR(IF(OR(AL4=الإستمارة!$C$12,AL4=الإستمارة!$C$13,AL4=الإستمارة!$C$14,AL4=الإستمارة!$C$15,AL4=الإستمارة!$C$16,AL4=الإستمارة!$C$17,AL4=الإستمارة!$C$18),VLOOKUP(AL4,الإستمارة!$C$12:$H$19,6,0),VLOOKUP(AL4,الإستمارة!$K$12:$P$19,6,0)),"")</f>
        <v/>
      </c>
      <c r="AM5" s="191">
        <f>'اختيار المقررات'!R12</f>
        <v>0</v>
      </c>
      <c r="AN5" s="192" t="str">
        <f>IFERROR(IF(OR(AN4=الإستمارة!$C$12,AN4=الإستمارة!$C$13,AN4=الإستمارة!$C$14,AN4=الإستمارة!$C$15,AN4=الإستمارة!$C$16,AN4=الإستمارة!$C$17,AN4=الإستمارة!$C$18),VLOOKUP(AN4,الإستمارة!$C$12:$H$19,6,0),VLOOKUP(AN4,الإستمارة!$K$12:$P$19,6,0)),"")</f>
        <v/>
      </c>
      <c r="AO5" s="191">
        <f>'اختيار المقررات'!J15</f>
        <v>0</v>
      </c>
      <c r="AP5" s="192" t="str">
        <f>IFERROR(IF(OR(AP4=الإستمارة!$C$12,AP4=الإستمارة!$C$13,AP4=الإستمارة!$C$14,AP4=الإستمارة!$C$15,AP4=الإستمارة!$C$16,AP4=الإستمارة!$C$17,AP4=الإستمارة!$C$18),VLOOKUP(AP4,الإستمارة!$C$12:$H$19,6,0),VLOOKUP(AP4,الإستمارة!$K$12:$P$19,6,0)),"")</f>
        <v/>
      </c>
      <c r="AQ5" s="195">
        <f>'اختيار المقررات'!J16</f>
        <v>0</v>
      </c>
      <c r="AR5" s="190" t="str">
        <f>IFERROR(IF(OR(AR4=الإستمارة!$C$12,AR4=الإستمارة!$C$13,AR4=الإستمارة!$C$14,AR4=الإستمارة!$C$15,AR4=الإستمارة!$C$16,AR4=الإستمارة!$C$17,AR4=الإستمارة!$C$18),VLOOKUP(AR4,الإستمارة!$C$12:$H$19,6,0),VLOOKUP(AR4,الإستمارة!$K$12:$P$19,6,0)),"")</f>
        <v/>
      </c>
      <c r="AS5" s="191">
        <f>'اختيار المقررات'!J17</f>
        <v>0</v>
      </c>
      <c r="AT5" s="192" t="str">
        <f>IFERROR(IF(OR(AT4=الإستمارة!$C$12,AT4=الإستمارة!$C$13,AT4=الإستمارة!$C$14,AT4=الإستمارة!$C$15,AT4=الإستمارة!$C$16,AT4=الإستمارة!$C$17,AT4=الإستمارة!$C$18),VLOOKUP(AT4,الإستمارة!$C$12:$H$19,6,0),VLOOKUP(AT4,الإستمارة!$K$12:$P$19,6,0)),"")</f>
        <v/>
      </c>
      <c r="AU5" s="191">
        <f>'اختيار المقررات'!J18</f>
        <v>0</v>
      </c>
      <c r="AV5" s="192" t="str">
        <f>IFERROR(IF(OR(AV4=الإستمارة!$C$12,AV4=الإستمارة!$C$13,AV4=الإستمارة!$C$14,AV4=الإستمارة!$C$15,AV4=الإستمارة!$C$16,AV4=الإستمارة!$C$17,AV4=الإستمارة!$C$18),VLOOKUP(AV4,الإستمارة!$C$12:$H$19,6,0),VLOOKUP(AV4,الإستمارة!$K$12:$P$19,6,0)),"")</f>
        <v/>
      </c>
      <c r="AW5" s="191">
        <f>'اختيار المقررات'!J19</f>
        <v>0</v>
      </c>
      <c r="AX5" s="192" t="str">
        <f>IFERROR(IF(OR(AX4=الإستمارة!$C$12,AX4=الإستمارة!$C$13,AX4=الإستمارة!$C$14,AX4=الإستمارة!$C$15,AX4=الإستمارة!$C$16,AX4=الإستمارة!$C$17,AX4=الإستمارة!$C$18),VLOOKUP(AX4,الإستمارة!$C$12:$H$19,6,0),VLOOKUP(AX4,الإستمارة!$K$12:$P$19,6,0)),"")</f>
        <v/>
      </c>
      <c r="AY5" s="191">
        <f>'اختيار المقررات'!R15</f>
        <v>0</v>
      </c>
      <c r="AZ5" s="192" t="str">
        <f>IFERROR(IF(OR(AZ4=الإستمارة!$C$12,AZ4=الإستمارة!$C$13,AZ4=الإستمارة!$C$14,AZ4=الإستمارة!$C$15,AZ4=الإستمارة!$C$16,AZ4=الإستمارة!$C$17,AZ4=الإستمارة!$C$18),VLOOKUP(AZ4,الإستمارة!$C$12:$H$19,6,0),VLOOKUP(AZ4,الإستمارة!$K$12:$P$19,6,0)),"")</f>
        <v/>
      </c>
      <c r="BA5" s="191">
        <f>'اختيار المقررات'!R16</f>
        <v>0</v>
      </c>
      <c r="BB5" s="192" t="str">
        <f>IFERROR(IF(OR(BB4=الإستمارة!$C$12,BB4=الإستمارة!$C$13,BB4=الإستمارة!$C$14,BB4=الإستمارة!$C$15,BB4=الإستمارة!$C$16,BB4=الإستمارة!$C$17,BB4=الإستمارة!$C$18),VLOOKUP(BB4,الإستمارة!$C$12:$H$19,6,0),VLOOKUP(BB4,الإستمارة!$K$12:$P$19,6,0)),"")</f>
        <v/>
      </c>
      <c r="BC5" s="193">
        <f>'اختيار المقررات'!R17</f>
        <v>0</v>
      </c>
      <c r="BD5" s="194" t="str">
        <f>IFERROR(IF(OR(BD4=الإستمارة!$C$12,BD4=الإستمارة!$C$13,BD4=الإستمارة!$C$14,BD4=الإستمارة!$C$15,BD4=الإستمارة!$C$16,BD4=الإستمارة!$C$17,BD4=الإستمارة!$C$18),VLOOKUP(BD4,الإستمارة!$C$12:$H$19,6,0),VLOOKUP(BD4,الإستمارة!$K$12:$P$19,6,0)),"")</f>
        <v/>
      </c>
      <c r="BE5" s="191">
        <f>'اختيار المقررات'!R18</f>
        <v>0</v>
      </c>
      <c r="BF5" s="192" t="str">
        <f>IFERROR(IF(OR(BF4=الإستمارة!$C$12,BF4=الإستمارة!$C$13,BF4=الإستمارة!$C$14,BF4=الإستمارة!$C$15,BF4=الإستمارة!$C$16,BF4=الإستمارة!$C$17,BF4=الإستمارة!$C$18),VLOOKUP(BF4,الإستمارة!$C$12:$H$19,6,0),VLOOKUP(BF4,الإستمارة!$K$12:$P$19,6,0)),"")</f>
        <v/>
      </c>
      <c r="BG5" s="191">
        <f>'اختيار المقررات'!R19</f>
        <v>0</v>
      </c>
      <c r="BH5" s="192" t="str">
        <f>IFERROR(IF(OR(BH4=الإستمارة!$C$12,BH4=الإستمارة!$C$13,BH4=الإستمارة!$C$14,BH4=الإستمارة!$C$15,BH4=الإستمارة!$C$16,BH4=الإستمارة!$C$17,BH4=الإستمارة!$C$18),VLOOKUP(BH4,الإستمارة!$C$12:$H$19,6,0),VLOOKUP(BH4,الإستمارة!$K$12:$P$19,6,0)),"")</f>
        <v/>
      </c>
      <c r="BI5" s="191">
        <f>'اختيار المقررات'!Z8</f>
        <v>0</v>
      </c>
      <c r="BJ5" s="192" t="str">
        <f>IFERROR(IF(OR(BJ4=الإستمارة!$C$12,BJ4=الإستمارة!$C$13,BJ4=الإستمارة!$C$14,BJ4=الإستمارة!$C$15,BJ4=الإستمارة!$C$16,BJ4=الإستمارة!$C$17,BJ4=الإستمارة!$C$18),VLOOKUP(BJ4,الإستمارة!$C$12:$H$19,6,0),VLOOKUP(BJ4,الإستمارة!$K$12:$P$19,6,0)),"")</f>
        <v/>
      </c>
      <c r="BK5" s="191">
        <f>'اختيار المقررات'!Z9</f>
        <v>0</v>
      </c>
      <c r="BL5" s="192" t="str">
        <f>IFERROR(IF(OR(BL4=الإستمارة!$C$12,BL4=الإستمارة!$C$13,BL4=الإستمارة!$C$14,BL4=الإستمارة!$C$15,BL4=الإستمارة!$C$16,BL4=الإستمارة!$C$17,BL4=الإستمارة!$C$18),VLOOKUP(BL4,الإستمارة!$C$12:$H$19,6,0),VLOOKUP(BL4,الإستمارة!$K$12:$P$19,6,0)),"")</f>
        <v/>
      </c>
      <c r="BM5" s="191">
        <f>'اختيار المقررات'!Z10</f>
        <v>0</v>
      </c>
      <c r="BN5" s="192" t="str">
        <f>IFERROR(IF(OR(BN4=الإستمارة!$C$12,BN4=الإستمارة!$C$13,BN4=الإستمارة!$C$14,BN4=الإستمارة!$C$15,BN4=الإستمارة!$C$16,BN4=الإستمارة!$C$17,BN4=الإستمارة!$C$18),VLOOKUP(BN4,الإستمارة!$C$12:$H$19,6,0),VLOOKUP(BN4,الإستمارة!$K$12:$P$19,6,0)),"")</f>
        <v/>
      </c>
      <c r="BO5" s="195">
        <f>'اختيار المقررات'!Z11</f>
        <v>0</v>
      </c>
      <c r="BP5" s="190" t="str">
        <f>IFERROR(IF(OR(BP4=الإستمارة!$C$12,BP4=الإستمارة!$C$13,BP4=الإستمارة!$C$14,BP4=الإستمارة!$C$15,BP4=الإستمارة!$C$16,BP4=الإستمارة!$C$17,BP4=الإستمارة!$C$18),VLOOKUP(BP4,الإستمارة!$C$12:$H$19,6,0),VLOOKUP(BP4,الإستمارة!$K$12:$P$19,6,0)),"")</f>
        <v/>
      </c>
      <c r="BQ5" s="191">
        <f>'اختيار المقررات'!Z12</f>
        <v>0</v>
      </c>
      <c r="BR5" s="192" t="str">
        <f>IFERROR(IF(OR(BR4=الإستمارة!$C$12,BR4=الإستمارة!$C$13,BR4=الإستمارة!$C$14,BR4=الإستمارة!$C$15,BR4=الإستمارة!$C$16,BR4=الإستمارة!$C$17,BR4=الإستمارة!$C$18),VLOOKUP(BR4,الإستمارة!$C$12:$H$19,6,0),VLOOKUP(BR4,الإستمارة!$K$12:$P$19,6,0)),"")</f>
        <v/>
      </c>
      <c r="BS5" s="191">
        <f>'اختيار المقررات'!AH8</f>
        <v>0</v>
      </c>
      <c r="BT5" s="192" t="str">
        <f>IFERROR(IF(OR(BT4=الإستمارة!$C$12,BT4=الإستمارة!$C$13,BT4=الإستمارة!$C$14,BT4=الإستمارة!$C$15,BT4=الإستمارة!$C$16,BT4=الإستمارة!$C$17,BT4=الإستمارة!$C$18),VLOOKUP(BT4,الإستمارة!$C$12:$H$19,6,0),VLOOKUP(BT4,الإستمارة!$K$12:$P$19,6,0)),"")</f>
        <v/>
      </c>
      <c r="BU5" s="191">
        <f>'اختيار المقررات'!AH9</f>
        <v>0</v>
      </c>
      <c r="BV5" s="192" t="str">
        <f>IFERROR(IF(OR(BV4=الإستمارة!$C$12,BV4=الإستمارة!$C$13,BV4=الإستمارة!$C$14,BV4=الإستمارة!$C$15,BV4=الإستمارة!$C$16,BV4=الإستمارة!$C$17,BV4=الإستمارة!$C$18),VLOOKUP(BV4,الإستمارة!$C$12:$H$19,6,0),VLOOKUP(BV4,الإستمارة!$K$12:$P$19,6,0)),"")</f>
        <v/>
      </c>
      <c r="BW5" s="191">
        <f>'اختيار المقررات'!AH10</f>
        <v>0</v>
      </c>
      <c r="BX5" s="192" t="str">
        <f>IFERROR(IF(OR(BX4=الإستمارة!$C$12,BX4=الإستمارة!$C$13,BX4=الإستمارة!$C$14,BX4=الإستمارة!$C$15,BX4=الإستمارة!$C$16,BX4=الإستمارة!$C$17,BX4=الإستمارة!$C$18),VLOOKUP(BX4,الإستمارة!$C$12:$H$19,6,0),VLOOKUP(BX4,الإستمارة!$K$12:$P$19,6,0)),"")</f>
        <v/>
      </c>
      <c r="BY5" s="191">
        <f>'اختيار المقررات'!AH11</f>
        <v>0</v>
      </c>
      <c r="BZ5" s="192" t="str">
        <f>IFERROR(IF(OR(BZ4=الإستمارة!$C$12,BZ4=الإستمارة!$C$13,BZ4=الإستمارة!$C$14,BZ4=الإستمارة!$C$15,BZ4=الإستمارة!$C$16,BZ4=الإستمارة!$C$17,BZ4=الإستمارة!$C$18),VLOOKUP(BZ4,الإستمارة!$C$12:$H$19,6,0),VLOOKUP(BZ4,الإستمارة!$K$12:$P$19,6,0)),"")</f>
        <v/>
      </c>
      <c r="CA5" s="193">
        <f>'اختيار المقررات'!AH12</f>
        <v>0</v>
      </c>
      <c r="CB5" s="194" t="str">
        <f>IFERROR(IF(OR(CB4=الإستمارة!$C$12,CB4=الإستمارة!$C$13,CB4=الإستمارة!$C$14,CB4=الإستمارة!$C$15,CB4=الإستمارة!$C$16,CB4=الإستمارة!$C$17,CB4=الإستمارة!$C$18),VLOOKUP(CB4,الإستمارة!$C$12:$H$19,6,0),VLOOKUP(CB4,الإستمارة!$K$12:$P$19,6,0)),"")</f>
        <v/>
      </c>
      <c r="CC5" s="191">
        <f>'اختيار المقررات'!Z15</f>
        <v>0</v>
      </c>
      <c r="CD5" s="192" t="str">
        <f>IFERROR(IF(OR(CD4=الإستمارة!$C$12,CD4=الإستمارة!$C$13,CD4=الإستمارة!$C$14,CD4=الإستمارة!$C$15,CD4=الإستمارة!$C$16,CD4=الإستمارة!$C$17,CD4=الإستمارة!$C$18),VLOOKUP(CD4,الإستمارة!$C$12:$H$19,6,0),VLOOKUP(CD4,الإستمارة!$K$12:$P$19,6,0)),"")</f>
        <v/>
      </c>
      <c r="CE5" s="191">
        <f>'اختيار المقررات'!Z16</f>
        <v>0</v>
      </c>
      <c r="CF5" s="192" t="str">
        <f>IFERROR(IF(OR(CF4=الإستمارة!$C$12,CF4=الإستمارة!$C$13,CF4=الإستمارة!$C$14,CF4=الإستمارة!$C$15,CF4=الإستمارة!$C$16,CF4=الإستمارة!$C$17,CF4=الإستمارة!$C$18),VLOOKUP(CF4,الإستمارة!$C$12:$H$19,6,0),VLOOKUP(CF4,الإستمارة!$K$12:$P$19,6,0)),"")</f>
        <v/>
      </c>
      <c r="CG5" s="191">
        <f>'اختيار المقررات'!Z17</f>
        <v>0</v>
      </c>
      <c r="CH5" s="192" t="str">
        <f>IFERROR(IF(OR(CH4=الإستمارة!$C$12,CH4=الإستمارة!$C$13,CH4=الإستمارة!$C$14,CH4=الإستمارة!$C$15,CH4=الإستمارة!$C$16,CH4=الإستمارة!$C$17,CH4=الإستمارة!$C$18),VLOOKUP(CH4,الإستمارة!$C$12:$H$19,6,0),VLOOKUP(CH4,الإستمارة!$K$12:$P$19,6,0)),"")</f>
        <v/>
      </c>
      <c r="CI5" s="191">
        <f>'اختيار المقررات'!Z18</f>
        <v>0</v>
      </c>
      <c r="CJ5" s="192" t="str">
        <f>IFERROR(IF(OR(CJ4=الإستمارة!$C$12,CJ4=الإستمارة!$C$13,CJ4=الإستمارة!$C$14,CJ4=الإستمارة!$C$15,CJ4=الإستمارة!$C$16,CJ4=الإستمارة!$C$17,CJ4=الإستمارة!$C$18),VLOOKUP(CJ4,الإستمارة!$C$12:$H$19,6,0),VLOOKUP(CJ4,الإستمارة!$K$12:$P$19,6,0)),"")</f>
        <v/>
      </c>
      <c r="CK5" s="191">
        <f>'اختيار المقررات'!Z19</f>
        <v>0</v>
      </c>
      <c r="CL5" s="192" t="str">
        <f>IFERROR(IF(OR(CL4=الإستمارة!$C$12,CL4=الإستمارة!$C$13,CL4=الإستمارة!$C$14,CL4=الإستمارة!$C$15,CL4=الإستمارة!$C$16,CL4=الإستمارة!$C$17,CL4=الإستمارة!$C$18),VLOOKUP(CL4,الإستمارة!$C$12:$H$19,6,0),VLOOKUP(CL4,الإستمارة!$K$12:$P$19,6,0)),"")</f>
        <v/>
      </c>
      <c r="CM5" s="195">
        <f>'اختيار المقررات'!AH15</f>
        <v>0</v>
      </c>
      <c r="CN5" s="190" t="str">
        <f>IFERROR(IF(OR(CN4=الإستمارة!$C$12,CN4=الإستمارة!$C$13,CN4=الإستمارة!$C$14,CN4=الإستمارة!$C$15,CN4=الإستمارة!$C$16,CN4=الإستمارة!$C$17,CN4=الإستمارة!$C$18),VLOOKUP(CN4,الإستمارة!$C$12:$H$19,6,0),VLOOKUP(CN4,الإستمارة!$K$12:$P$19,6,0)),"")</f>
        <v/>
      </c>
      <c r="CO5" s="191">
        <f>'اختيار المقررات'!AH16</f>
        <v>0</v>
      </c>
      <c r="CP5" s="192" t="str">
        <f>IFERROR(IF(OR(CP4=الإستمارة!$C$12,CP4=الإستمارة!$C$13,CP4=الإستمارة!$C$14,CP4=الإستمارة!$C$15,CP4=الإستمارة!$C$16,CP4=الإستمارة!$C$17,CP4=الإستمارة!$C$18),VLOOKUP(CP4,الإستمارة!$C$12:$H$19,6,0),VLOOKUP(CP4,الإستمارة!$K$12:$P$19,6,0)),"")</f>
        <v/>
      </c>
      <c r="CQ5" s="191">
        <f>'اختيار المقررات'!AH17</f>
        <v>0</v>
      </c>
      <c r="CR5" s="192" t="str">
        <f>IFERROR(IF(OR(CR4=الإستمارة!$C$12,CR4=الإستمارة!$C$13,CR4=الإستمارة!$C$14,CR4=الإستمارة!$C$15,CR4=الإستمارة!$C$16,CR4=الإستمارة!$C$17,CR4=الإستمارة!$C$18),VLOOKUP(CR4,الإستمارة!$C$12:$H$19,6,0),VLOOKUP(CR4,الإستمارة!$K$12:$P$19,6,0)),"")</f>
        <v/>
      </c>
      <c r="CS5" s="191">
        <f>'اختيار المقررات'!AH18</f>
        <v>0</v>
      </c>
      <c r="CT5" s="192" t="str">
        <f>IFERROR(IF(OR(CT4=الإستمارة!$C$12,CT4=الإستمارة!$C$13,CT4=الإستمارة!$C$14,CT4=الإستمارة!$C$15,CT4=الإستمارة!$C$16,CT4=الإستمارة!$C$17,CT4=الإستمارة!$C$18),VLOOKUP(CT4,الإستمارة!$C$12:$H$19,6,0),VLOOKUP(CT4,الإستمارة!$K$12:$P$19,6,0)),"")</f>
        <v/>
      </c>
      <c r="CU5" s="191">
        <f>'اختيار المقررات'!AH19</f>
        <v>0</v>
      </c>
      <c r="CV5" s="196" t="e">
        <f>'اختيار المقررات'!R5</f>
        <v>#REF!</v>
      </c>
      <c r="CW5" s="197" t="e">
        <f>'اختيار المقررات'!X5</f>
        <v>#REF!</v>
      </c>
      <c r="CX5" s="198" t="e">
        <f>'اختيار المقررات'!AC5</f>
        <v>#REF!</v>
      </c>
      <c r="CY5" s="199">
        <f>'اختيار المقررات'!G5</f>
        <v>0</v>
      </c>
      <c r="CZ5" s="200">
        <f>'اختيار المقررات'!O27</f>
        <v>0</v>
      </c>
      <c r="DA5" s="201">
        <f>'اختيار المقررات'!O25</f>
        <v>12000</v>
      </c>
      <c r="DB5" s="201">
        <f>'اختيار المقررات'!O26</f>
        <v>0</v>
      </c>
      <c r="DC5" s="201">
        <f>'اختيار المقررات'!O28</f>
        <v>0</v>
      </c>
      <c r="DD5" s="202">
        <f>'اختيار المقررات'!O29</f>
        <v>12000</v>
      </c>
      <c r="DE5" s="201" t="str">
        <f>'اختيار المقررات'!W28</f>
        <v>لا</v>
      </c>
      <c r="DF5" s="201">
        <f>'اختيار المقررات'!W29</f>
        <v>12000</v>
      </c>
      <c r="DG5" s="201">
        <f>'اختيار المقررات'!AD29</f>
        <v>0</v>
      </c>
      <c r="DH5" s="196">
        <f>'اختيار المقررات'!AE25</f>
        <v>0</v>
      </c>
      <c r="DI5" s="203">
        <f>'اختيار المقررات'!AE26</f>
        <v>0</v>
      </c>
      <c r="DJ5" s="201">
        <f>'اختيار المقررات'!AE27</f>
        <v>0</v>
      </c>
      <c r="DK5" s="204">
        <f>SUM(DH5:DJ5)</f>
        <v>0</v>
      </c>
      <c r="DL5" s="196">
        <f>'اختيار المقررات'!AC2</f>
        <v>0</v>
      </c>
      <c r="DM5" s="197">
        <f>'اختيار المقررات'!X2</f>
        <v>0</v>
      </c>
      <c r="DN5" s="197">
        <f>'اختيار المقررات'!R2</f>
        <v>0</v>
      </c>
      <c r="DO5" s="204">
        <f>'اختيار المقررات'!M2</f>
        <v>0</v>
      </c>
      <c r="DP5" s="205" t="str">
        <f>'اختيار المقررات'!D26</f>
        <v/>
      </c>
      <c r="DQ5" s="205" t="str">
        <f>'اختيار المقررات'!D27</f>
        <v/>
      </c>
      <c r="DR5" s="205" t="str">
        <f>'اختيار المقررات'!D28</f>
        <v/>
      </c>
      <c r="DS5" s="205" t="str">
        <f>'اختيار المقررات'!D29</f>
        <v xml:space="preserve"> </v>
      </c>
      <c r="DT5" s="205" t="str">
        <f>'اختيار المقررات'!D30</f>
        <v/>
      </c>
      <c r="DU5" s="205" t="str">
        <f>'اختيار المقررات'!D31</f>
        <v/>
      </c>
      <c r="DV5" s="81" t="str">
        <f>'اختيار المقررات'!D32</f>
        <v/>
      </c>
      <c r="DW5" s="81" t="str">
        <f>'اختيار المقررات'!D33</f>
        <v/>
      </c>
      <c r="DX5" s="205">
        <f>'اختيار المقررات'!Z28</f>
        <v>0</v>
      </c>
    </row>
  </sheetData>
  <sheetProtection algorithmName="SHA-512" hashValue="k1aBvdZwK9mw9Fq9N7AtQ5W7oSQGASPwG41qeBNsJj05xkNc30p1I6I3k2tjdksH5626+s0XbtZs6ZIz+zL/8Q==" saltValue="9Qo0YW9Nmi3g0w2IE8J+OQ==" spinCount="100000" sheet="1" objects="1" scenarios="1"/>
  <mergeCells count="132">
    <mergeCell ref="CV1:CX2"/>
    <mergeCell ref="CY1:CY2"/>
    <mergeCell ref="CZ1:DG2"/>
    <mergeCell ref="DH1:DK2"/>
    <mergeCell ref="DG3:DG4"/>
    <mergeCell ref="CB1:CU1"/>
    <mergeCell ref="DL1:DO2"/>
    <mergeCell ref="CL3:CM3"/>
    <mergeCell ref="CN3:CO3"/>
    <mergeCell ref="CP3:CQ3"/>
    <mergeCell ref="CR3:CS3"/>
    <mergeCell ref="CT3:CU3"/>
    <mergeCell ref="DO3:DO4"/>
    <mergeCell ref="DI3:DI4"/>
    <mergeCell ref="DJ3:DJ4"/>
    <mergeCell ref="DK3:DK4"/>
    <mergeCell ref="DL3:DL4"/>
    <mergeCell ref="DM3:DM4"/>
    <mergeCell ref="DN3:DN4"/>
    <mergeCell ref="CT4:CU4"/>
    <mergeCell ref="DH3:DH4"/>
    <mergeCell ref="AH3:AI3"/>
    <mergeCell ref="AJ3:AK3"/>
    <mergeCell ref="AL3:AM3"/>
    <mergeCell ref="AN3:AO3"/>
    <mergeCell ref="CV3:CV4"/>
    <mergeCell ref="DF3:DF4"/>
    <mergeCell ref="CR4:CS4"/>
    <mergeCell ref="CB3:CC3"/>
    <mergeCell ref="CD3:CE3"/>
    <mergeCell ref="CJ4:CK4"/>
    <mergeCell ref="CL4:CM4"/>
    <mergeCell ref="CY3:CY4"/>
    <mergeCell ref="CZ3:CZ4"/>
    <mergeCell ref="DA3:DA4"/>
    <mergeCell ref="DB3:DB4"/>
    <mergeCell ref="DD3:DD4"/>
    <mergeCell ref="DE3:DE4"/>
    <mergeCell ref="DC3:DC4"/>
    <mergeCell ref="CW3:CW4"/>
    <mergeCell ref="CX3:CX4"/>
    <mergeCell ref="CB4:CC4"/>
    <mergeCell ref="CD4:CE4"/>
    <mergeCell ref="AX4:AY4"/>
    <mergeCell ref="CH4:CI4"/>
    <mergeCell ref="AN1:BG1"/>
    <mergeCell ref="AN2:AW2"/>
    <mergeCell ref="AX2:BG2"/>
    <mergeCell ref="BR2:CA2"/>
    <mergeCell ref="CB2:CK2"/>
    <mergeCell ref="CL2:CU2"/>
    <mergeCell ref="BH1:CA1"/>
    <mergeCell ref="AP3:AQ3"/>
    <mergeCell ref="CF3:CG3"/>
    <mergeCell ref="CH3:CI3"/>
    <mergeCell ref="CJ3:CK3"/>
    <mergeCell ref="BL3:BM3"/>
    <mergeCell ref="BN3:BO3"/>
    <mergeCell ref="BP3:BQ3"/>
    <mergeCell ref="BR3:BS3"/>
    <mergeCell ref="BT3:BU3"/>
    <mergeCell ref="AZ3:BA3"/>
    <mergeCell ref="AZ4:BA4"/>
    <mergeCell ref="BB4:BC4"/>
    <mergeCell ref="BD4:BE4"/>
    <mergeCell ref="BL4:BM4"/>
    <mergeCell ref="BX4:BY4"/>
    <mergeCell ref="BZ4:CA4"/>
    <mergeCell ref="BN4:BO4"/>
    <mergeCell ref="AX3:AY3"/>
    <mergeCell ref="BH3:BI3"/>
    <mergeCell ref="BJ3:BK3"/>
    <mergeCell ref="BP4:BQ4"/>
    <mergeCell ref="BR4:BS4"/>
    <mergeCell ref="BV4:BW4"/>
    <mergeCell ref="M1:M4"/>
    <mergeCell ref="A1:A2"/>
    <mergeCell ref="B1:B2"/>
    <mergeCell ref="C1:J2"/>
    <mergeCell ref="K1:K4"/>
    <mergeCell ref="L1:L4"/>
    <mergeCell ref="N1:N4"/>
    <mergeCell ref="O1:O4"/>
    <mergeCell ref="P1:R2"/>
    <mergeCell ref="S1:S4"/>
    <mergeCell ref="T1:AM1"/>
    <mergeCell ref="T2:AC2"/>
    <mergeCell ref="AD2:AM2"/>
    <mergeCell ref="X4:Y4"/>
    <mergeCell ref="BH2:BQ2"/>
    <mergeCell ref="P3:P4"/>
    <mergeCell ref="Z4:AA4"/>
    <mergeCell ref="AB4:AC4"/>
    <mergeCell ref="AD4:AE4"/>
    <mergeCell ref="Q3:Q4"/>
    <mergeCell ref="R3:R4"/>
    <mergeCell ref="T4:U4"/>
    <mergeCell ref="V4:W4"/>
    <mergeCell ref="T3:U3"/>
    <mergeCell ref="V3:W3"/>
    <mergeCell ref="BF4:BG4"/>
    <mergeCell ref="BH4:BI4"/>
    <mergeCell ref="BJ4:BK4"/>
    <mergeCell ref="AF4:AG4"/>
    <mergeCell ref="AH4:AI4"/>
    <mergeCell ref="AJ4:AK4"/>
    <mergeCell ref="AL4:AM4"/>
    <mergeCell ref="AN4:AO4"/>
    <mergeCell ref="DP3:DU4"/>
    <mergeCell ref="DV3:DV4"/>
    <mergeCell ref="AP4:AQ4"/>
    <mergeCell ref="X3:Y3"/>
    <mergeCell ref="Z3:AA3"/>
    <mergeCell ref="AB3:AC3"/>
    <mergeCell ref="AD3:AE3"/>
    <mergeCell ref="AF3:AG3"/>
    <mergeCell ref="AR3:AS3"/>
    <mergeCell ref="AT3:AU3"/>
    <mergeCell ref="AV3:AW3"/>
    <mergeCell ref="AV4:AW4"/>
    <mergeCell ref="AR4:AS4"/>
    <mergeCell ref="AT4:AU4"/>
    <mergeCell ref="CN4:CO4"/>
    <mergeCell ref="CP4:CQ4"/>
    <mergeCell ref="BV3:BW3"/>
    <mergeCell ref="BX3:BY3"/>
    <mergeCell ref="BZ3:CA3"/>
    <mergeCell ref="BB3:BC3"/>
    <mergeCell ref="BD3:BE3"/>
    <mergeCell ref="BF3:BG3"/>
    <mergeCell ref="BT4:BU4"/>
    <mergeCell ref="CF4:CG4"/>
  </mergeCells>
  <conditionalFormatting sqref="A5">
    <cfRule type="duplicateValues" dxfId="1" priority="1"/>
    <cfRule type="duplicateValues" dxfId="0" priority="2"/>
  </conditionalFormatting>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5</vt:i4>
      </vt:variant>
      <vt:variant>
        <vt:lpstr>النطاقات المسماة</vt:lpstr>
      </vt:variant>
      <vt:variant>
        <vt:i4>1</vt:i4>
      </vt:variant>
    </vt:vector>
  </HeadingPairs>
  <TitlesOfParts>
    <vt:vector size="6" baseType="lpstr">
      <vt:lpstr>تعليمات التسجيل</vt:lpstr>
      <vt:lpstr>إدخال البيانات</vt:lpstr>
      <vt:lpstr>اختيار المقررات</vt:lpstr>
      <vt:lpstr>الإستمارة</vt:lpstr>
      <vt:lpstr>tra</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lenovo-lap</cp:lastModifiedBy>
  <cp:revision/>
  <cp:lastPrinted>2024-02-06T10:29:42Z</cp:lastPrinted>
  <dcterms:created xsi:type="dcterms:W3CDTF">2015-06-05T18:17:20Z</dcterms:created>
  <dcterms:modified xsi:type="dcterms:W3CDTF">2025-03-12T08:59:28Z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2023-07-11T07:11:57Z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2670a961-ebdc-426c-b900-f2dfbcbc9378</vt:lpwstr>
  </property>
  <property fmtid="{D5CDD505-2E9C-101B-9397-08002B2CF9AE}" pid="7" name="MSIP_Label_defa4170-0d19-0005-0004-bc88714345d2_ActionId">
    <vt:lpwstr>9526ffa3-0f81-462c-bb6a-ceabc19054e3</vt:lpwstr>
  </property>
  <property fmtid="{D5CDD505-2E9C-101B-9397-08002B2CF9AE}" pid="8" name="MSIP_Label_defa4170-0d19-0005-0004-bc88714345d2_ContentBits">
    <vt:lpwstr>0</vt:lpwstr>
  </property>
</Properties>
</file>