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قسم الأتمتة التعليم المفتوح\2024-2025\الفصل الأول من العام 2024-2025\قدامى ف1 2024-2025\استمارات طلاب الثورة\"/>
    </mc:Choice>
  </mc:AlternateContent>
  <xr:revisionPtr revIDLastSave="0" documentId="13_ncr:1_{ADCFE84D-FC88-4C94-8265-9A532E1BE3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تعليمات التسجيل" sheetId="16" r:id="rId1"/>
    <sheet name="إدخال البيانات" sheetId="17" r:id="rId2"/>
    <sheet name="اختيار المقررات" sheetId="5" r:id="rId3"/>
    <sheet name="الإستمارة" sheetId="11" r:id="rId4"/>
    <sheet name="spm" sheetId="18" r:id="rId5"/>
  </sheets>
  <externalReferences>
    <externalReference r:id="rId6"/>
    <externalReference r:id="rId7"/>
  </externalReferences>
  <definedNames>
    <definedName name="_xlnm._FilterDatabase" localSheetId="1" hidden="1">'إدخال البيانات'!$I$4:$I$19</definedName>
    <definedName name="_xlnm.Print_Area" localSheetId="3">الإستمارة!$A$1:$R$42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5" l="1"/>
  <c r="AB2" i="5"/>
  <c r="W2" i="5"/>
  <c r="Q2" i="5"/>
  <c r="H2" i="5"/>
  <c r="Q4" i="5"/>
  <c r="L4" i="5"/>
  <c r="E4" i="5"/>
  <c r="AB3" i="5"/>
  <c r="Q3" i="5"/>
  <c r="E3" i="5"/>
  <c r="L3" i="5"/>
  <c r="AE1" i="5"/>
  <c r="AB1" i="5"/>
  <c r="W1" i="5"/>
  <c r="Q1" i="5"/>
  <c r="E1" i="5"/>
  <c r="AE3" i="5"/>
  <c r="DJ3" i="18"/>
  <c r="DH3" i="18"/>
  <c r="DF3" i="18"/>
  <c r="DD3" i="18"/>
  <c r="DB3" i="18"/>
  <c r="CZ3" i="18"/>
  <c r="CX3" i="18"/>
  <c r="CV3" i="18"/>
  <c r="CT3" i="18"/>
  <c r="CR3" i="18"/>
  <c r="CP3" i="18"/>
  <c r="CN3" i="18"/>
  <c r="CL3" i="18"/>
  <c r="CJ3" i="18"/>
  <c r="CH3" i="18"/>
  <c r="CF3" i="18"/>
  <c r="CD3" i="18"/>
  <c r="CB3" i="18"/>
  <c r="BZ3" i="18"/>
  <c r="BX3" i="18"/>
  <c r="BV3" i="18"/>
  <c r="BT3" i="18"/>
  <c r="BR3" i="18"/>
  <c r="BP3" i="18"/>
  <c r="BN3" i="18"/>
  <c r="BL3" i="18"/>
  <c r="BJ3" i="18"/>
  <c r="BH3" i="18"/>
  <c r="BF3" i="18"/>
  <c r="BD3" i="18"/>
  <c r="BB3" i="18"/>
  <c r="AZ3" i="18"/>
  <c r="AX3" i="18"/>
  <c r="AV3" i="18"/>
  <c r="AT3" i="18"/>
  <c r="AR3" i="18"/>
  <c r="AP3" i="18"/>
  <c r="AN3" i="18"/>
  <c r="AL3" i="18"/>
  <c r="AJ3" i="18"/>
  <c r="AH3" i="18"/>
  <c r="AF3" i="18"/>
  <c r="AD3" i="18"/>
  <c r="AB3" i="18"/>
  <c r="Z3" i="18"/>
  <c r="X3" i="18"/>
  <c r="V3" i="18"/>
  <c r="T3" i="18"/>
  <c r="I24" i="5"/>
  <c r="H24" i="5"/>
  <c r="G24" i="5"/>
  <c r="Z22" i="5"/>
  <c r="Z21" i="5"/>
  <c r="Z20" i="5"/>
  <c r="Z19" i="5"/>
  <c r="Z18" i="5"/>
  <c r="Z17" i="5"/>
  <c r="R22" i="5"/>
  <c r="R21" i="5"/>
  <c r="R20" i="5"/>
  <c r="R19" i="5"/>
  <c r="R18" i="5"/>
  <c r="R17" i="5"/>
  <c r="Z13" i="5"/>
  <c r="Z12" i="5"/>
  <c r="Z11" i="5"/>
  <c r="Z10" i="5"/>
  <c r="Z9" i="5"/>
  <c r="Z8" i="5"/>
  <c r="R13" i="5"/>
  <c r="R12" i="5"/>
  <c r="R11" i="5"/>
  <c r="R10" i="5"/>
  <c r="R9" i="5"/>
  <c r="R8" i="5"/>
  <c r="J22" i="5"/>
  <c r="J21" i="5"/>
  <c r="J20" i="5"/>
  <c r="J19" i="5"/>
  <c r="J18" i="5"/>
  <c r="J17" i="5"/>
  <c r="A22" i="5"/>
  <c r="A21" i="5"/>
  <c r="A20" i="5"/>
  <c r="A19" i="5"/>
  <c r="A18" i="5"/>
  <c r="A17" i="5"/>
  <c r="J13" i="5"/>
  <c r="AL19" i="5" s="1"/>
  <c r="K13" i="5"/>
  <c r="AX48" i="5"/>
  <c r="DB5" i="18" s="1"/>
  <c r="AY48" i="5"/>
  <c r="DC5" i="18" s="1"/>
  <c r="AX49" i="5"/>
  <c r="DF5" i="18" s="1"/>
  <c r="AY49" i="5"/>
  <c r="DG5" i="18" s="1"/>
  <c r="AX50" i="5"/>
  <c r="DH5" i="18" s="1"/>
  <c r="AY50" i="5"/>
  <c r="DI5" i="18" s="1"/>
  <c r="AX51" i="5"/>
  <c r="DJ5" i="18" s="1"/>
  <c r="AY51" i="5"/>
  <c r="DK5" i="18" s="1"/>
  <c r="AX52" i="5"/>
  <c r="AY52" i="5"/>
  <c r="AY47" i="5"/>
  <c r="DA5" i="18" s="1"/>
  <c r="AX47" i="5"/>
  <c r="CZ5" i="18" s="1"/>
  <c r="AX42" i="5"/>
  <c r="AY42" i="5"/>
  <c r="AX43" i="5"/>
  <c r="AY43" i="5"/>
  <c r="AX44" i="5"/>
  <c r="AY44" i="5"/>
  <c r="AX45" i="5"/>
  <c r="AY45" i="5"/>
  <c r="AX46" i="5"/>
  <c r="CX5" i="18" s="1"/>
  <c r="AY46" i="5"/>
  <c r="AY41" i="5"/>
  <c r="AX41" i="5"/>
  <c r="AX36" i="5"/>
  <c r="AY36" i="5"/>
  <c r="AX37" i="5"/>
  <c r="AY37" i="5"/>
  <c r="AX38" i="5"/>
  <c r="AY38" i="5"/>
  <c r="AX39" i="5"/>
  <c r="AY39" i="5"/>
  <c r="AX40" i="5"/>
  <c r="AY40" i="5"/>
  <c r="AY35" i="5"/>
  <c r="AX35" i="5"/>
  <c r="AX30" i="5"/>
  <c r="AY30" i="5"/>
  <c r="AX31" i="5"/>
  <c r="AY31" i="5"/>
  <c r="AX32" i="5"/>
  <c r="AY32" i="5"/>
  <c r="AX33" i="5"/>
  <c r="AY33" i="5"/>
  <c r="AX34" i="5"/>
  <c r="AY34" i="5"/>
  <c r="AY29" i="5"/>
  <c r="AX29" i="5"/>
  <c r="AX24" i="5"/>
  <c r="AY24" i="5"/>
  <c r="AX25" i="5"/>
  <c r="AY25" i="5"/>
  <c r="AX26" i="5"/>
  <c r="AY26" i="5"/>
  <c r="AX27" i="5"/>
  <c r="AY27" i="5"/>
  <c r="AX28" i="5"/>
  <c r="AY28" i="5"/>
  <c r="AY23" i="5"/>
  <c r="AX23" i="5"/>
  <c r="AX18" i="5"/>
  <c r="AY18" i="5"/>
  <c r="AX19" i="5"/>
  <c r="AY19" i="5"/>
  <c r="AX20" i="5"/>
  <c r="AY20" i="5"/>
  <c r="AX21" i="5"/>
  <c r="AY21" i="5"/>
  <c r="AX22" i="5"/>
  <c r="AY22" i="5"/>
  <c r="AY17" i="5"/>
  <c r="AX17" i="5"/>
  <c r="AX16" i="5"/>
  <c r="AY16" i="5"/>
  <c r="Q24" i="5"/>
  <c r="P24" i="5"/>
  <c r="O24" i="5"/>
  <c r="Y24" i="5"/>
  <c r="X24" i="5"/>
  <c r="W24" i="5"/>
  <c r="AG24" i="5"/>
  <c r="AF24" i="5"/>
  <c r="AE24" i="5"/>
  <c r="AG15" i="5"/>
  <c r="AF15" i="5"/>
  <c r="AE15" i="5"/>
  <c r="Y15" i="5"/>
  <c r="X15" i="5"/>
  <c r="W15" i="5"/>
  <c r="Q15" i="5"/>
  <c r="P15" i="5"/>
  <c r="O15" i="5"/>
  <c r="I15" i="5"/>
  <c r="H15" i="5"/>
  <c r="G15" i="5"/>
  <c r="DE5" i="18" l="1"/>
  <c r="DD5" i="18"/>
  <c r="S13" i="5"/>
  <c r="AA13" i="5"/>
  <c r="S22" i="5"/>
  <c r="AA22" i="5"/>
  <c r="K22" i="5"/>
  <c r="ED5" i="18" l="1"/>
  <c r="EC5" i="18"/>
  <c r="EB5" i="18"/>
  <c r="EE5" i="18"/>
  <c r="EF5" i="18"/>
  <c r="DU5" i="18"/>
  <c r="CY5" i="18"/>
  <c r="CW5" i="18"/>
  <c r="CU5" i="18"/>
  <c r="CS5" i="18"/>
  <c r="CQ5" i="18"/>
  <c r="CO5" i="18"/>
  <c r="CM5" i="18"/>
  <c r="CK5" i="18"/>
  <c r="CI5" i="18"/>
  <c r="CG5" i="18"/>
  <c r="CE5" i="18"/>
  <c r="CC5" i="18"/>
  <c r="CA5" i="18"/>
  <c r="BY5" i="18"/>
  <c r="BW5" i="18"/>
  <c r="BX5" i="18"/>
  <c r="CV5" i="18"/>
  <c r="CT5" i="18"/>
  <c r="CP5" i="18"/>
  <c r="CR5" i="18"/>
  <c r="CN5" i="18"/>
  <c r="CL5" i="18"/>
  <c r="CJ5" i="18"/>
  <c r="CH5" i="18"/>
  <c r="CF5" i="18"/>
  <c r="CD5" i="18"/>
  <c r="CB5" i="18"/>
  <c r="BZ5" i="18"/>
  <c r="BV5" i="18"/>
  <c r="BT5" i="18"/>
  <c r="BU5" i="18"/>
  <c r="BS5" i="18"/>
  <c r="BR5" i="18"/>
  <c r="BQ5" i="18"/>
  <c r="BP5" i="18"/>
  <c r="BO5" i="18"/>
  <c r="BN5" i="18"/>
  <c r="BM5" i="18"/>
  <c r="BL5" i="18"/>
  <c r="BJ5" i="18"/>
  <c r="BK5" i="18"/>
  <c r="BH5" i="18"/>
  <c r="BI5" i="18"/>
  <c r="BF5" i="18"/>
  <c r="BD5" i="18"/>
  <c r="BB5" i="18"/>
  <c r="AZ5" i="18"/>
  <c r="AX5" i="18"/>
  <c r="AV5" i="18"/>
  <c r="AT5" i="18"/>
  <c r="AR5" i="18"/>
  <c r="BA5" i="18"/>
  <c r="AY5" i="18"/>
  <c r="AW5" i="18"/>
  <c r="AU5" i="18"/>
  <c r="AS5" i="18"/>
  <c r="AQ5" i="18"/>
  <c r="AP5" i="18"/>
  <c r="Y5" i="18"/>
  <c r="AA5" i="18"/>
  <c r="W5" i="18"/>
  <c r="U5" i="18"/>
  <c r="AO5" i="18"/>
  <c r="AM5" i="18"/>
  <c r="AK5" i="18"/>
  <c r="AI5" i="18"/>
  <c r="AG5" i="18"/>
  <c r="AE5" i="18"/>
  <c r="BG5" i="18"/>
  <c r="BE5" i="18"/>
  <c r="BC5" i="18"/>
  <c r="AC5" i="18"/>
  <c r="E2" i="5" l="1"/>
  <c r="S5" i="18" s="1"/>
  <c r="C5" i="18"/>
  <c r="B5" i="18" l="1"/>
  <c r="S21" i="5"/>
  <c r="S20" i="5"/>
  <c r="S19" i="5"/>
  <c r="S18" i="5"/>
  <c r="S17" i="5"/>
  <c r="AA21" i="5"/>
  <c r="AA20" i="5"/>
  <c r="AA19" i="5"/>
  <c r="AA18" i="5"/>
  <c r="AA17" i="5"/>
  <c r="AA24" i="5" s="1"/>
  <c r="AA9" i="5"/>
  <c r="AA10" i="5"/>
  <c r="AA11" i="5"/>
  <c r="AA12" i="5"/>
  <c r="AA8" i="5"/>
  <c r="AY12" i="5"/>
  <c r="AY13" i="5"/>
  <c r="AY14" i="5"/>
  <c r="AY15" i="5"/>
  <c r="AY11" i="5"/>
  <c r="AY7" i="5"/>
  <c r="AY8" i="5"/>
  <c r="AY9" i="5"/>
  <c r="AY10" i="5"/>
  <c r="AY6" i="5"/>
  <c r="AY5" i="5"/>
  <c r="S9" i="5"/>
  <c r="S10" i="5"/>
  <c r="S11" i="5"/>
  <c r="S12" i="5"/>
  <c r="S8" i="5"/>
  <c r="S15" i="5" s="1"/>
  <c r="K21" i="5"/>
  <c r="K20" i="5"/>
  <c r="K19" i="5"/>
  <c r="K18" i="5"/>
  <c r="K17" i="5"/>
  <c r="K9" i="5"/>
  <c r="K10" i="5"/>
  <c r="K11" i="5"/>
  <c r="K12" i="5"/>
  <c r="K8" i="5"/>
  <c r="B22" i="5"/>
  <c r="B21" i="5"/>
  <c r="B20" i="5"/>
  <c r="B19" i="5"/>
  <c r="B18" i="5"/>
  <c r="B17" i="5"/>
  <c r="B13" i="5"/>
  <c r="B12" i="5"/>
  <c r="B11" i="5"/>
  <c r="B10" i="5"/>
  <c r="B9" i="5"/>
  <c r="B8" i="5"/>
  <c r="K24" i="5" l="1"/>
  <c r="K15" i="5"/>
  <c r="AA15" i="5"/>
  <c r="S24" i="5"/>
  <c r="B24" i="5"/>
  <c r="C38" i="5" l="1"/>
  <c r="AE4" i="5" l="1"/>
  <c r="O5" i="18" s="1"/>
  <c r="AB4" i="5"/>
  <c r="N5" i="18" s="1"/>
  <c r="W4" i="5"/>
  <c r="M5" i="18" s="1"/>
  <c r="N4" i="11"/>
  <c r="F3" i="11"/>
  <c r="J3" i="11"/>
  <c r="N3" i="11"/>
  <c r="R5" i="18" l="1"/>
  <c r="Q5" i="18"/>
  <c r="P5" i="18"/>
  <c r="B20" i="11" l="1"/>
  <c r="Z28" i="5" l="1"/>
  <c r="J5" i="18" l="1"/>
  <c r="I5" i="18"/>
  <c r="E5" i="18"/>
  <c r="F5" i="18"/>
  <c r="G5" i="18" l="1"/>
  <c r="W3" i="5"/>
  <c r="K5" i="18" s="1"/>
  <c r="H5" i="18"/>
  <c r="L5" i="18"/>
  <c r="J25" i="11"/>
  <c r="E22" i="11"/>
  <c r="G39" i="11"/>
  <c r="AE22" i="11"/>
  <c r="B1" i="11"/>
  <c r="K7" i="11"/>
  <c r="Z22" i="11" s="1"/>
  <c r="Y22" i="11" s="1"/>
  <c r="H7" i="11"/>
  <c r="Z21" i="11" s="1"/>
  <c r="Y21" i="11" s="1"/>
  <c r="D7" i="11"/>
  <c r="Z20" i="11" s="1"/>
  <c r="Y20" i="11" s="1"/>
  <c r="Z6" i="11"/>
  <c r="Y6" i="11" s="1"/>
  <c r="Z7" i="11"/>
  <c r="Y7" i="11" s="1"/>
  <c r="Z11" i="11"/>
  <c r="Y11" i="11" s="1"/>
  <c r="Z5" i="11"/>
  <c r="Y5" i="11" s="1"/>
  <c r="C50" i="5" l="1"/>
  <c r="A5" i="18"/>
  <c r="K23" i="5"/>
  <c r="N27" i="5"/>
  <c r="DR5" i="18" s="1"/>
  <c r="C49" i="5"/>
  <c r="C47" i="5"/>
  <c r="C45" i="5"/>
  <c r="C43" i="5"/>
  <c r="C41" i="5"/>
  <c r="AB5" i="5"/>
  <c r="D5" i="18"/>
  <c r="C48" i="5"/>
  <c r="C46" i="5"/>
  <c r="C44" i="5"/>
  <c r="C42" i="5"/>
  <c r="C40" i="5"/>
  <c r="Q5" i="5"/>
  <c r="W5" i="5"/>
  <c r="H4" i="11"/>
  <c r="Z9" i="11" s="1"/>
  <c r="Y9" i="11" s="1"/>
  <c r="D2" i="11"/>
  <c r="E34" i="11" s="1"/>
  <c r="E39" i="11" s="1"/>
  <c r="D4" i="11"/>
  <c r="B34" i="11" s="1"/>
  <c r="B39" i="11" s="1"/>
  <c r="H6" i="11"/>
  <c r="Z17" i="11" s="1"/>
  <c r="Y17" i="11" s="1"/>
  <c r="K6" i="11"/>
  <c r="Z18" i="11" s="1"/>
  <c r="Y18" i="11" s="1"/>
  <c r="K4" i="11"/>
  <c r="Z10" i="11" s="1"/>
  <c r="Y10" i="11" s="1"/>
  <c r="P6" i="11"/>
  <c r="Z19" i="11" s="1"/>
  <c r="Y19" i="11" s="1"/>
  <c r="D5" i="11"/>
  <c r="Z12" i="11" s="1"/>
  <c r="Y12" i="11" s="1"/>
  <c r="T6" i="5"/>
  <c r="B35" i="5" l="1"/>
  <c r="B31" i="5"/>
  <c r="B36" i="5"/>
  <c r="C36" i="5" s="1"/>
  <c r="B32" i="5"/>
  <c r="B28" i="5"/>
  <c r="C28" i="5" s="1"/>
  <c r="B34" i="5"/>
  <c r="C34" i="5" s="1"/>
  <c r="B30" i="5"/>
  <c r="B37" i="5"/>
  <c r="C37" i="5" s="1"/>
  <c r="B33" i="5"/>
  <c r="B29" i="5"/>
  <c r="C29" i="5" s="1"/>
  <c r="H2" i="11"/>
  <c r="H33" i="11" s="1"/>
  <c r="H38" i="11" s="1"/>
  <c r="M2" i="11"/>
  <c r="Z3" i="11" s="1"/>
  <c r="Y3" i="11" s="1"/>
  <c r="P2" i="11"/>
  <c r="Z4" i="11" s="1"/>
  <c r="Y4" i="11" s="1"/>
  <c r="K22" i="11"/>
  <c r="N22" i="11"/>
  <c r="J23" i="11"/>
  <c r="D3" i="11"/>
  <c r="Z8" i="11"/>
  <c r="Y8" i="11" s="1"/>
  <c r="B6" i="5"/>
  <c r="J24" i="11"/>
  <c r="D6" i="11"/>
  <c r="Z16" i="11" s="1"/>
  <c r="Y16" i="11" s="1"/>
  <c r="P5" i="11"/>
  <c r="Z15" i="11" s="1"/>
  <c r="Y15" i="11" s="1"/>
  <c r="K5" i="11"/>
  <c r="Z14" i="11" s="1"/>
  <c r="Y14" i="11" s="1"/>
  <c r="H5" i="11"/>
  <c r="Z13" i="11" s="1"/>
  <c r="Y13" i="11" s="1"/>
  <c r="C32" i="5" l="1"/>
  <c r="B30" i="11" s="1"/>
  <c r="C33" i="5"/>
  <c r="C35" i="5"/>
  <c r="C31" i="5"/>
  <c r="C30" i="5"/>
  <c r="B29" i="11" s="1"/>
  <c r="B28" i="11"/>
  <c r="G28" i="11"/>
  <c r="AA13" i="11"/>
  <c r="AE13" i="11" s="1"/>
  <c r="AA20" i="11"/>
  <c r="AE20" i="11" s="1"/>
  <c r="AA4" i="11"/>
  <c r="AE4" i="11" s="1"/>
  <c r="AA9" i="11"/>
  <c r="AE9" i="11" s="1"/>
  <c r="AA18" i="11"/>
  <c r="AE18" i="11" s="1"/>
  <c r="AA8" i="11"/>
  <c r="AE8" i="11" s="1"/>
  <c r="AA6" i="11"/>
  <c r="AE6" i="11" s="1"/>
  <c r="AA5" i="11"/>
  <c r="AE5" i="11" s="1"/>
  <c r="AA16" i="11"/>
  <c r="AE16" i="11" s="1"/>
  <c r="AA3" i="11"/>
  <c r="AA14" i="11"/>
  <c r="AE14" i="11" s="1"/>
  <c r="AA11" i="11"/>
  <c r="AE11" i="11" s="1"/>
  <c r="AA7" i="11"/>
  <c r="AE7" i="11" s="1"/>
  <c r="AA19" i="11"/>
  <c r="AE19" i="11" s="1"/>
  <c r="AA12" i="11"/>
  <c r="AE12" i="11" s="1"/>
  <c r="AA15" i="11"/>
  <c r="AE15" i="11" s="1"/>
  <c r="AA10" i="11"/>
  <c r="AE10" i="11" s="1"/>
  <c r="AA21" i="11"/>
  <c r="AE21" i="11" s="1"/>
  <c r="AA17" i="11"/>
  <c r="AE17" i="11" s="1"/>
  <c r="G29" i="11" l="1"/>
  <c r="G30" i="11"/>
  <c r="AJ1" i="11"/>
  <c r="AK4" i="5" s="1"/>
  <c r="AE3" i="11"/>
  <c r="AC1" i="11" l="1"/>
  <c r="B8" i="11" s="1"/>
  <c r="AX12" i="5"/>
  <c r="AH5" i="18" s="1"/>
  <c r="AX13" i="5"/>
  <c r="AJ5" i="18" s="1"/>
  <c r="AX14" i="5"/>
  <c r="AL5" i="18" s="1"/>
  <c r="AX15" i="5"/>
  <c r="AN5" i="18" s="1"/>
  <c r="AX6" i="5"/>
  <c r="V5" i="18" s="1"/>
  <c r="AX7" i="5"/>
  <c r="X5" i="18" s="1"/>
  <c r="AX8" i="5"/>
  <c r="Z5" i="18" s="1"/>
  <c r="AX9" i="5"/>
  <c r="AB5" i="18" s="1"/>
  <c r="AX10" i="5"/>
  <c r="AD5" i="18" s="1"/>
  <c r="AX11" i="5"/>
  <c r="AF5" i="18" s="1"/>
  <c r="W27" i="5" l="1"/>
  <c r="AD27" i="5" s="1"/>
  <c r="DQ5" i="18" s="1"/>
  <c r="AL26" i="5" l="1"/>
  <c r="AL22" i="5"/>
  <c r="AL38" i="5"/>
  <c r="AL50" i="5"/>
  <c r="AL23" i="5"/>
  <c r="AL39" i="5"/>
  <c r="AL43" i="5"/>
  <c r="AL51" i="5"/>
  <c r="AL42" i="5"/>
  <c r="AL24" i="5"/>
  <c r="AL36" i="5"/>
  <c r="AL40" i="5"/>
  <c r="AL44" i="5"/>
  <c r="AL48" i="5"/>
  <c r="AL46" i="5"/>
  <c r="AL21" i="5"/>
  <c r="AL25" i="5"/>
  <c r="AL37" i="5"/>
  <c r="AL45" i="5"/>
  <c r="AL49" i="5"/>
  <c r="J23" i="5"/>
  <c r="AL33" i="5" s="1"/>
  <c r="AX5" i="5"/>
  <c r="T5" i="18" s="1"/>
  <c r="E24" i="11" l="1"/>
  <c r="A9" i="5"/>
  <c r="AL9" i="5" s="1"/>
  <c r="A8" i="5"/>
  <c r="E23" i="11" l="1"/>
  <c r="J8" i="5"/>
  <c r="A13" i="5" l="1"/>
  <c r="AL13" i="5" s="1"/>
  <c r="J12" i="5"/>
  <c r="AL18" i="5" s="1"/>
  <c r="AL31" i="5"/>
  <c r="AL54" i="5"/>
  <c r="J9" i="5"/>
  <c r="AL15" i="5" s="1"/>
  <c r="A10" i="5"/>
  <c r="AL10" i="5" s="1"/>
  <c r="AL28" i="5"/>
  <c r="AL32" i="5"/>
  <c r="AL55" i="5"/>
  <c r="A11" i="5"/>
  <c r="AL11" i="5" s="1"/>
  <c r="J10" i="5"/>
  <c r="AL16" i="5" s="1"/>
  <c r="AL29" i="5"/>
  <c r="AL56" i="5"/>
  <c r="A12" i="5"/>
  <c r="AL12" i="5" s="1"/>
  <c r="J11" i="5"/>
  <c r="AL17" i="5" s="1"/>
  <c r="AL30" i="5"/>
  <c r="AL53" i="5"/>
  <c r="V30" i="5" l="1"/>
  <c r="DX5" i="18" s="1"/>
  <c r="B27" i="11"/>
  <c r="AF30" i="5"/>
  <c r="DZ5" i="18" s="1"/>
  <c r="AB30" i="5"/>
  <c r="DY5" i="18" s="1"/>
  <c r="B15" i="5"/>
  <c r="EA5" i="18" l="1"/>
  <c r="F21" i="11"/>
  <c r="K21" i="11"/>
  <c r="Q21" i="11"/>
  <c r="T25" i="5"/>
  <c r="N28" i="5" s="1"/>
  <c r="DS5" i="18" l="1"/>
  <c r="W28" i="5"/>
  <c r="E25" i="11"/>
  <c r="AL47" i="5"/>
  <c r="AL34" i="5"/>
  <c r="AL8" i="5"/>
  <c r="AL52" i="5"/>
  <c r="AL41" i="5"/>
  <c r="AL27" i="5"/>
  <c r="AL20" i="5"/>
  <c r="AL14" i="5"/>
  <c r="W29" i="5" l="1"/>
  <c r="DV5" i="18" s="1"/>
  <c r="DT5" i="18"/>
  <c r="E26" i="11"/>
  <c r="V15" i="11"/>
  <c r="B16" i="11" s="1"/>
  <c r="V19" i="11"/>
  <c r="J12" i="11" s="1"/>
  <c r="V23" i="11"/>
  <c r="J16" i="11" s="1"/>
  <c r="V27" i="11"/>
  <c r="V31" i="11"/>
  <c r="V36" i="11"/>
  <c r="V40" i="11"/>
  <c r="V14" i="11"/>
  <c r="B15" i="11" s="1"/>
  <c r="V18" i="11"/>
  <c r="B19" i="11" s="1"/>
  <c r="V22" i="11"/>
  <c r="J15" i="11" s="1"/>
  <c r="V26" i="11"/>
  <c r="J19" i="11" s="1"/>
  <c r="V30" i="11"/>
  <c r="V35" i="11"/>
  <c r="V39" i="11"/>
  <c r="V43" i="11"/>
  <c r="V13" i="11"/>
  <c r="B14" i="11" s="1"/>
  <c r="V17" i="11"/>
  <c r="B18" i="11" s="1"/>
  <c r="V21" i="11"/>
  <c r="J14" i="11" s="1"/>
  <c r="V25" i="11"/>
  <c r="J18" i="11" s="1"/>
  <c r="V29" i="11"/>
  <c r="V34" i="11"/>
  <c r="V38" i="11"/>
  <c r="V42" i="11"/>
  <c r="V12" i="11"/>
  <c r="B13" i="11" s="1"/>
  <c r="V16" i="11"/>
  <c r="B17" i="11" s="1"/>
  <c r="V20" i="11"/>
  <c r="J13" i="11" s="1"/>
  <c r="V24" i="11"/>
  <c r="J17" i="11" s="1"/>
  <c r="V28" i="11"/>
  <c r="V33" i="11"/>
  <c r="V37" i="11"/>
  <c r="V41" i="11"/>
  <c r="V11" i="11"/>
  <c r="B12" i="11" s="1"/>
  <c r="H12" i="11" s="1"/>
  <c r="P19" i="11" l="1"/>
  <c r="K19" i="11"/>
  <c r="L19" i="11"/>
  <c r="Q19" i="11"/>
  <c r="L18" i="11"/>
  <c r="P18" i="11"/>
  <c r="K18" i="11"/>
  <c r="Q18" i="11"/>
  <c r="P15" i="11"/>
  <c r="L15" i="11"/>
  <c r="K15" i="11"/>
  <c r="C17" i="11"/>
  <c r="H17" i="11"/>
  <c r="D17" i="11"/>
  <c r="C12" i="11"/>
  <c r="T1" i="11"/>
  <c r="D12" i="11"/>
  <c r="D16" i="11"/>
  <c r="C16" i="11"/>
  <c r="H16" i="11"/>
  <c r="L14" i="11"/>
  <c r="K14" i="11"/>
  <c r="P14" i="11"/>
  <c r="H19" i="11"/>
  <c r="I19" i="11"/>
  <c r="D19" i="11"/>
  <c r="C19" i="11"/>
  <c r="K13" i="11"/>
  <c r="P13" i="11"/>
  <c r="L13" i="11"/>
  <c r="D18" i="11"/>
  <c r="I18" i="11"/>
  <c r="H18" i="11"/>
  <c r="C18" i="11"/>
  <c r="D14" i="11"/>
  <c r="C14" i="11"/>
  <c r="H14" i="11"/>
  <c r="L12" i="11"/>
  <c r="P12" i="11"/>
  <c r="K12" i="11"/>
  <c r="H15" i="11"/>
  <c r="C15" i="11"/>
  <c r="D15" i="11"/>
  <c r="C13" i="11"/>
  <c r="H13" i="11"/>
  <c r="T2" i="11" s="1"/>
  <c r="D13" i="11"/>
  <c r="P16" i="11"/>
  <c r="L16" i="11"/>
  <c r="K16" i="11"/>
  <c r="F33" i="11" l="1"/>
  <c r="K17" i="11"/>
  <c r="P17" i="11"/>
  <c r="L17" i="11"/>
  <c r="AD29" i="5" l="1"/>
  <c r="DW5" i="18" s="1"/>
  <c r="F38" i="11" l="1"/>
  <c r="Q16" i="11"/>
  <c r="I17" i="11"/>
  <c r="Q17" i="11"/>
  <c r="I15" i="11"/>
  <c r="I12" i="11"/>
  <c r="I16" i="11"/>
  <c r="Q15" i="11"/>
  <c r="Q12" i="11"/>
  <c r="Q14" i="11"/>
  <c r="I14" i="11"/>
  <c r="Q13" i="11"/>
  <c r="I13" i="11"/>
  <c r="A15" i="5"/>
</calcChain>
</file>

<file path=xl/sharedStrings.xml><?xml version="1.0" encoding="utf-8"?>
<sst xmlns="http://schemas.openxmlformats.org/spreadsheetml/2006/main" count="500" uniqueCount="300">
  <si>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</si>
  <si>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</si>
  <si>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</si>
  <si>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</si>
  <si>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</si>
  <si>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</si>
  <si>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</si>
  <si>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</si>
  <si>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</si>
  <si>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</si>
  <si>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</si>
  <si>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</si>
  <si>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</si>
  <si>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</si>
  <si>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</si>
  <si>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</si>
  <si>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</si>
  <si>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</si>
  <si>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</si>
  <si>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 xml:space="preserve">الفصل الأول </t>
  </si>
  <si>
    <t>تقسيط</t>
  </si>
  <si>
    <t>مقررات السنة الثانية</t>
  </si>
  <si>
    <t xml:space="preserve">مقررات السنة الرابعة 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</si>
  <si>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</si>
  <si>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</si>
  <si>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</si>
  <si>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</si>
  <si>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</si>
  <si>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</si>
  <si>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اسم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</si>
  <si>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</si>
  <si>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</si>
  <si>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</si>
  <si>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</si>
  <si>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</si>
  <si>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</si>
  <si>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</si>
  <si>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</si>
  <si>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</si>
  <si>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</si>
  <si>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</si>
  <si>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</si>
  <si>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</si>
  <si>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</si>
  <si>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</si>
  <si>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</si>
  <si>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</si>
  <si>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</si>
  <si>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</si>
  <si>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</si>
  <si>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</si>
  <si>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</si>
  <si>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</si>
  <si>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</si>
  <si>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</si>
  <si>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</si>
  <si>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</si>
  <si>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الموبايل</t>
  </si>
  <si>
    <t>ذوي الشهداء وجرحى الجيش العربي السوري</t>
  </si>
  <si>
    <t>رقم تدوير رسوم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</si>
  <si>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</si>
  <si>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</si>
  <si>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</si>
  <si>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</si>
  <si>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</si>
  <si>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</si>
  <si>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</si>
  <si>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</si>
  <si>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</si>
  <si>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نوع الحسم</t>
  </si>
  <si>
    <t>نقابة معلمين</t>
  </si>
  <si>
    <t>ذوي إحتياجات الخاصة</t>
  </si>
  <si>
    <t>سجين</t>
  </si>
  <si>
    <t>رسم التسجيل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</si>
  <si>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</si>
  <si>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</si>
  <si>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</si>
  <si>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رسم تسجيل سنوي</t>
  </si>
  <si>
    <t>عدد المواد الراسبة للمرة الأولى</t>
  </si>
  <si>
    <t>عدد المواد الراسبة للمرة الثانية</t>
  </si>
  <si>
    <t>place of birth</t>
  </si>
  <si>
    <t>Mother Name</t>
  </si>
  <si>
    <t>Father Name</t>
  </si>
  <si>
    <t>Full Name</t>
  </si>
  <si>
    <t>مكان ورقم القيد</t>
  </si>
  <si>
    <t>لا</t>
  </si>
  <si>
    <t>نعم</t>
  </si>
  <si>
    <t>دمشق</t>
  </si>
  <si>
    <t>علمي</t>
  </si>
  <si>
    <t>ريف دمشق</t>
  </si>
  <si>
    <t>أدبي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</si>
  <si>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</si>
  <si>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</si>
  <si>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</si>
  <si>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</si>
  <si>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حلب</t>
  </si>
  <si>
    <t>حمص</t>
  </si>
  <si>
    <t>حماة</t>
  </si>
  <si>
    <t>اللاذقية</t>
  </si>
  <si>
    <t>طرطوس</t>
  </si>
  <si>
    <t>إدلب</t>
  </si>
  <si>
    <t>السويداء</t>
  </si>
  <si>
    <t>القنيطرة</t>
  </si>
  <si>
    <t>درعا</t>
  </si>
  <si>
    <t>الحسكة</t>
  </si>
  <si>
    <t>دير الزور</t>
  </si>
  <si>
    <t>الرقة</t>
  </si>
  <si>
    <t>المحافظة</t>
  </si>
  <si>
    <t>يستفيد من الحسم</t>
  </si>
  <si>
    <t>الحاصيلن عل وسام بطل الجمهورية العربية السورية أو أحد أبنائهم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</si>
  <si>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</si>
  <si>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</si>
  <si>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ذوي الاحتياجات الخاصة</t>
  </si>
  <si>
    <t>السجين</t>
  </si>
  <si>
    <t xml:space="preserve">يسدد (500ل.س) فقط رسم كل مقرر </t>
  </si>
  <si>
    <t>1000 من رسم كل مقرر</t>
  </si>
  <si>
    <t>تملئ صفحة إدخال البيانات بالمعلومات المطلوبة وبشكل دقيق وصحيح</t>
  </si>
  <si>
    <t>يكون اختيار المقررات المراد التسجيل عليها على الشكل التالي:</t>
  </si>
  <si>
    <t>أ</t>
  </si>
  <si>
    <t>عند اختيار المقرر للمرة الأول فتضع بجانب اسم المقرر بالعمود الأزرق رقم /1/</t>
  </si>
  <si>
    <t>عند اختيار المقرر للمرة الثانية فتضع بجانب اسم المقرر بالعمود الأزرق رقم /2/</t>
  </si>
  <si>
    <t>عند اخيار المقرر للمرة الثالثة فتضع بجانب اسم المقرر بالعمود الأزرق رقم /3/</t>
  </si>
  <si>
    <t>الانتقال إلى صفحة اختيار المقررات</t>
  </si>
  <si>
    <t>التوجه إلى المصرف العقاري لدفع الرسوم</t>
  </si>
  <si>
    <t>نسبة الحسم</t>
  </si>
  <si>
    <t xml:space="preserve">تعليمات التسجيل </t>
  </si>
  <si>
    <t>ملاحظة :إن كنت من المستفيدين من الحسميات يجب عليك إحضار الوثيقة التي تثبت ذلك
مع الأوراق الثبوتية التي تقدم إلى النافذة</t>
  </si>
  <si>
    <t>شرعية</t>
  </si>
  <si>
    <t>الحاصلين على وثيقة وفاة من مكتب شؤون الشهداء والجرحى والمفقودين من أبناءوأزواج المتوفيين بعمليات مشابهة للعمليت الحربية</t>
  </si>
  <si>
    <t>ذوي شهداء الجيش وقوى الأمن الداخلي والجرحى وابنائهم الجرحى الذين بلغت لديهم نسبة العجز 70% وأبناء المفقودين وازواجهم</t>
  </si>
  <si>
    <r>
      <t xml:space="preserve">ثم تسليم استمارة التسجيل مع إيصال المصرف إلى شؤون طلاب رياض الأطفال - كلية التربية-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</si>
  <si>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الثانية</t>
  </si>
  <si>
    <t>الثانية حديث</t>
  </si>
  <si>
    <t>الثالثة</t>
  </si>
  <si>
    <t>الثالثة حديث</t>
  </si>
  <si>
    <t>الرابعة</t>
  </si>
  <si>
    <t>الرابعة حديث</t>
  </si>
  <si>
    <t>رسم فصول الانقطاع</t>
  </si>
  <si>
    <t>رسم المقررات</t>
  </si>
  <si>
    <t>ملاحظة: عن كل فصل انقطاع رسم /15000 ل.س/</t>
  </si>
  <si>
    <t>وثيقة وفاة صادرة عن مكتب الشهداء</t>
  </si>
  <si>
    <t>العاملين في وزارة التعليم العالي والمؤسسات والجامعات التابعة لها</t>
  </si>
  <si>
    <t>طابع هلال احمر
25  ل .س</t>
  </si>
  <si>
    <t xml:space="preserve">طابع مالي
 30  ل.س   </t>
  </si>
  <si>
    <t>رسم الانقطاع</t>
  </si>
  <si>
    <t>الفصل الأول من العام الدراسي 2018-2019</t>
  </si>
  <si>
    <t>الفصل الثاني من العام الدراسي 2018-2019</t>
  </si>
  <si>
    <t>الفصل الأول من العام الدراسي 2019-2020</t>
  </si>
  <si>
    <t>الفصل الأول من العام الدراسي 2020-2021</t>
  </si>
  <si>
    <t>أدخل الرقم الإمتحاني</t>
  </si>
  <si>
    <t>الثانوية</t>
  </si>
  <si>
    <t>01</t>
  </si>
  <si>
    <t>العربية السورية</t>
  </si>
  <si>
    <t>02</t>
  </si>
  <si>
    <t>الفلسطينية السورية</t>
  </si>
  <si>
    <t>03</t>
  </si>
  <si>
    <t>رقم جواز السفر لغير السوريين</t>
  </si>
  <si>
    <t>رقم الهاتف</t>
  </si>
  <si>
    <t>06</t>
  </si>
  <si>
    <t>04</t>
  </si>
  <si>
    <t>الأردنية</t>
  </si>
  <si>
    <t>05</t>
  </si>
  <si>
    <t>اللبنانية</t>
  </si>
  <si>
    <t>العراقية</t>
  </si>
  <si>
    <t>07</t>
  </si>
  <si>
    <t>التونسية</t>
  </si>
  <si>
    <t>08</t>
  </si>
  <si>
    <t xml:space="preserve">اليمنية </t>
  </si>
  <si>
    <t>09</t>
  </si>
  <si>
    <t>10</t>
  </si>
  <si>
    <t>11</t>
  </si>
  <si>
    <t>12</t>
  </si>
  <si>
    <t>13</t>
  </si>
  <si>
    <t>14</t>
  </si>
  <si>
    <t>15</t>
  </si>
  <si>
    <t>غير سورية</t>
  </si>
  <si>
    <t>16</t>
  </si>
  <si>
    <t>غير سوري</t>
  </si>
  <si>
    <t>رقم الإيقاف</t>
  </si>
  <si>
    <t>تدوير الرسوم</t>
  </si>
  <si>
    <t>الفصل الثاني من العام الدراسي 2020-2021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</si>
  <si>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</si>
  <si>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</si>
  <si>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</si>
  <si>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</si>
  <si>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</si>
  <si>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</si>
  <si>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</si>
  <si>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</si>
  <si>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</si>
  <si>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</si>
  <si>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</si>
  <si>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</si>
  <si>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</si>
  <si>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</si>
  <si>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</si>
  <si>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>الرسوم المدورة</t>
  </si>
  <si>
    <t>طابع بحث علمي
25ل.س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</si>
  <si>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</si>
  <si>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فنون نسوية</t>
  </si>
  <si>
    <t>الفلسطينية</t>
  </si>
  <si>
    <t>الإيرانية</t>
  </si>
  <si>
    <t>المصرية</t>
  </si>
  <si>
    <t>المغربية</t>
  </si>
  <si>
    <t>الأفغانية</t>
  </si>
  <si>
    <t>التركية</t>
  </si>
  <si>
    <t>سلوفاكية</t>
  </si>
  <si>
    <t>الجزائرية</t>
  </si>
  <si>
    <t>السودانية</t>
  </si>
  <si>
    <t>السعودية</t>
  </si>
  <si>
    <t>الرسوم</t>
  </si>
  <si>
    <t>البيانات باللغة الإنكليزية</t>
  </si>
  <si>
    <t>فصول الإنقطاع</t>
  </si>
  <si>
    <t>رسم فصل الانقطاع</t>
  </si>
  <si>
    <t>الفصل الأول من العام الدراسي 2021-2022</t>
  </si>
  <si>
    <t/>
  </si>
  <si>
    <t>الفصل الثاني من العام الدراسي 2021-2022</t>
  </si>
  <si>
    <t>يجب أن تقوم بملئ الحقول بالمعلومات المطلوبة بشكل صحيح</t>
  </si>
  <si>
    <t>إلى المصرف التسليف الشعبي</t>
  </si>
  <si>
    <t>الفصل الأول 2022-2023</t>
  </si>
  <si>
    <t>فصول الانقطاع</t>
  </si>
  <si>
    <t>الفصل الثاني 2022-2023</t>
  </si>
  <si>
    <t xml:space="preserve">                                                       المقررات المسجلة في الفصل الثاني للعام الدراسي 2024/ 2023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</si>
  <si>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الفصل الأول 2024-2023</t>
  </si>
  <si>
    <t>الفصل الثاني 2024-2023</t>
  </si>
  <si>
    <t>الأولى</t>
  </si>
  <si>
    <t xml:space="preserve">الرياضيات المالية والادارية </t>
  </si>
  <si>
    <t>مبادئ الادارة  (1)</t>
  </si>
  <si>
    <t xml:space="preserve">المدخل الى القانون </t>
  </si>
  <si>
    <t>اللغة الأجنبية</t>
  </si>
  <si>
    <t>ج</t>
  </si>
  <si>
    <t>ر1</t>
  </si>
  <si>
    <t>ر2</t>
  </si>
  <si>
    <t xml:space="preserve">محاسبة شركات الاشخاص </t>
  </si>
  <si>
    <t xml:space="preserve">ادارة مشتريات ومخازن </t>
  </si>
  <si>
    <t xml:space="preserve">الادارة المالية </t>
  </si>
  <si>
    <t xml:space="preserve">القانون التجاري </t>
  </si>
  <si>
    <t>التمويل باللغة الاجنبية</t>
  </si>
  <si>
    <t>اللغة الأجنبية 2</t>
  </si>
  <si>
    <t>hhh</t>
  </si>
  <si>
    <t>ff</t>
  </si>
  <si>
    <t>kkk</t>
  </si>
  <si>
    <t>kkkk</t>
  </si>
  <si>
    <t>kk</t>
  </si>
  <si>
    <t>kjjkjk</t>
  </si>
  <si>
    <t>العربية السوري</t>
  </si>
  <si>
    <t>لغة الطالب</t>
  </si>
  <si>
    <t>الاستنفاذ</t>
  </si>
  <si>
    <t>الانكليزية</t>
  </si>
  <si>
    <t>الفرنسية</t>
  </si>
  <si>
    <t>أساسيات الإدارة</t>
  </si>
  <si>
    <t xml:space="preserve">مبادئ التمويل والاستثمار </t>
  </si>
  <si>
    <t>التحليل الجزئي</t>
  </si>
  <si>
    <t>مبادئ الاحصاء</t>
  </si>
  <si>
    <t xml:space="preserve">المحاسبة المالية </t>
  </si>
  <si>
    <t>لغة أعمال 1</t>
  </si>
  <si>
    <t xml:space="preserve">اساسيات التسويق في المشروعات الصغيرة </t>
  </si>
  <si>
    <t xml:space="preserve">رياضيات ادارية ومالية </t>
  </si>
  <si>
    <t>المحاسبة المتوسطة</t>
  </si>
  <si>
    <t xml:space="preserve">الاشكال القانونية للمشروعات وأسس احداثها </t>
  </si>
  <si>
    <t>مهارات حاسوب 1</t>
  </si>
  <si>
    <t>لغة اعمال 2</t>
  </si>
  <si>
    <t xml:space="preserve">ادارة التفاوض باللغة الاجنبية </t>
  </si>
  <si>
    <t>التحليل الكلي</t>
  </si>
  <si>
    <t xml:space="preserve">الاساليب الكمية في الادارة </t>
  </si>
  <si>
    <t>محاسبة شركات الاشخاص</t>
  </si>
  <si>
    <t xml:space="preserve">الملية العامة والتشريع الضريبي </t>
  </si>
  <si>
    <t>مهارات حاسوب  2</t>
  </si>
  <si>
    <t xml:space="preserve">ادارة الانتاج والعمليات </t>
  </si>
  <si>
    <t xml:space="preserve">محاسبة تكاليف وادارية </t>
  </si>
  <si>
    <t>الاتصالات التسويقية</t>
  </si>
  <si>
    <t xml:space="preserve">البيئة القانونية للاستثمار والعمل </t>
  </si>
  <si>
    <t xml:space="preserve">مراسلات ادارية باللغة الاجنبية </t>
  </si>
  <si>
    <t xml:space="preserve">ادارة المشروعات الصغيرة </t>
  </si>
  <si>
    <t xml:space="preserve">الاتصالات الادارية </t>
  </si>
  <si>
    <t xml:space="preserve">المحاسبة المالية المتخصصة </t>
  </si>
  <si>
    <t xml:space="preserve">ادارة الموارد البشرية </t>
  </si>
  <si>
    <t>القانون التجاري</t>
  </si>
  <si>
    <t xml:space="preserve">معلوماتية </t>
  </si>
  <si>
    <t xml:space="preserve">ادارة العلاقات العامة </t>
  </si>
  <si>
    <t>تطبيقات احصائية في الادارة</t>
  </si>
  <si>
    <t xml:space="preserve">سياسات التسعير والتوزيع </t>
  </si>
  <si>
    <t>نظم المعلومات الادارية</t>
  </si>
  <si>
    <t xml:space="preserve">دراسات ادارية بلغة اجنبية </t>
  </si>
  <si>
    <t>نظرية المنظمة والتطوير التنظيمي</t>
  </si>
  <si>
    <t xml:space="preserve">ادارة الامداد في المشروعات الصغيرة </t>
  </si>
  <si>
    <t xml:space="preserve">ادارة الوقت </t>
  </si>
  <si>
    <t xml:space="preserve">ادارة الجدوى وتقييم المشروعات </t>
  </si>
  <si>
    <t xml:space="preserve">ادارة الجودة في المشروعات الصغيرة </t>
  </si>
  <si>
    <t xml:space="preserve">الرقابة الادارية </t>
  </si>
  <si>
    <t xml:space="preserve">نظرية القررات الادارية </t>
  </si>
  <si>
    <t xml:space="preserve">المسؤولية الاجتماعية واخلاقيات العمل </t>
  </si>
  <si>
    <t xml:space="preserve">ادارة المخاطر المالية والائتمان </t>
  </si>
  <si>
    <t xml:space="preserve">التجارة الالكترونية بلغة اجنبية </t>
  </si>
  <si>
    <t xml:space="preserve">السلوك التنظيمي </t>
  </si>
  <si>
    <t>استراتيجيات تنمية المشروعات الصغيرة</t>
  </si>
  <si>
    <t xml:space="preserve">ادارة التنافس في المشروعات الصغيرة </t>
  </si>
  <si>
    <t xml:space="preserve">اسم الطالب   </t>
  </si>
  <si>
    <t>إرسال ملف الإستمارة (Excel ) عبر البريد الإلكتروني إلى العنوان التالي :
spm.ople113@ hotmail.com
 ويجب أن يكون موضوع الإيميل هو الرقم الإمتحاني للطالب</t>
  </si>
  <si>
    <t>استمارة تسجيل طلاب برنامج إدارة المشروعات في الفصل الأول للعام الدراسي 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</si>
</sst>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ل.س.‏&quot;"/>
    <numFmt numFmtId="165" formatCode="[$-1010000]yyyy/mm/dd;@"/>
  </numFmts>
  <fonts count="98" x14ac:knownFonts="1">
    <font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2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0"/>
      <name val="Arial"/>
      <family val="2"/>
    </font>
    <font>
      <b/>
      <u/>
      <sz val="12"/>
      <color theme="10"/>
      <name val="Arial"/>
      <family val="2"/>
    </font>
    <font>
      <sz val="16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3"/>
      <color rgb="FFFF0000"/>
      <name val="Arial"/>
      <family val="2"/>
      <scheme val="minor"/>
    </font>
    <font>
      <b/>
      <sz val="8"/>
      <name val="Arial"/>
      <family val="2"/>
      <scheme val="minor"/>
    </font>
    <font>
      <sz val="11"/>
      <color theme="5" tint="0.79998168889431442"/>
      <name val="Arial"/>
      <family val="2"/>
      <scheme val="minor"/>
    </font>
    <font>
      <b/>
      <sz val="11"/>
      <color theme="5" tint="0.79998168889431442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4"/>
      <color theme="1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sz val="14"/>
      <color theme="0"/>
      <name val="Sakkal Majalla"/>
    </font>
    <font>
      <b/>
      <u/>
      <sz val="16"/>
      <color theme="0"/>
      <name val="Sakkal Majalla"/>
    </font>
    <font>
      <b/>
      <u/>
      <sz val="14"/>
      <color theme="0"/>
      <name val="Sakkal Majalla"/>
    </font>
    <font>
      <b/>
      <sz val="14"/>
      <color theme="0"/>
      <name val="Sakkal Majalla"/>
    </font>
    <font>
      <b/>
      <sz val="16"/>
      <color rgb="FFFF0000"/>
      <name val="Sakkal Majalla"/>
    </font>
    <font>
      <b/>
      <sz val="18"/>
      <color rgb="FFFF0000"/>
      <name val="Sakkal Majalla"/>
    </font>
    <font>
      <sz val="11"/>
      <color theme="0"/>
      <name val="Sakkal Majalla"/>
    </font>
    <font>
      <sz val="11"/>
      <name val="Sakkal Majalla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10"/>
      <color theme="0"/>
      <name val="Arial"/>
      <family val="2"/>
    </font>
    <font>
      <sz val="14"/>
      <name val="Sakkal Majalla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0"/>
      <name val="Sakkal Majalla"/>
    </font>
    <font>
      <sz val="14"/>
      <color rgb="FFFF0000"/>
      <name val="Sakkal Majalla"/>
    </font>
    <font>
      <b/>
      <sz val="11"/>
      <color rgb="FF002060"/>
      <name val="Arial"/>
      <family val="2"/>
    </font>
    <font>
      <sz val="9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1"/>
      <color rgb="FF002060"/>
      <name val="Arial"/>
      <family val="2"/>
      <scheme val="minor"/>
    </font>
    <font>
      <b/>
      <sz val="8"/>
      <color rgb="FFFF0000"/>
      <name val="Arial"/>
      <family val="2"/>
      <scheme val="minor"/>
    </font>
    <font>
      <sz val="10"/>
      <color theme="0"/>
      <name val="Arial"/>
      <family val="2"/>
      <charset val="178"/>
    </font>
    <font>
      <u/>
      <sz val="10"/>
      <name val="Arial"/>
      <family val="2"/>
      <charset val="178"/>
    </font>
    <font>
      <sz val="10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sz val="10"/>
      <color theme="0"/>
      <name val="Arial"/>
      <family val="2"/>
      <charset val="178"/>
      <scheme val="minor"/>
    </font>
    <font>
      <sz val="10"/>
      <color theme="0"/>
      <name val="Sakkal Majalla"/>
    </font>
    <font>
      <u/>
      <sz val="10"/>
      <color rgb="FF0070C0"/>
      <name val="Arial"/>
      <family val="2"/>
      <charset val="178"/>
    </font>
    <font>
      <sz val="10"/>
      <color rgb="FFFF0000"/>
      <name val="Arial"/>
      <family val="2"/>
      <charset val="178"/>
    </font>
    <font>
      <sz val="10"/>
      <color rgb="FFFF0000"/>
      <name val="Arial"/>
      <family val="2"/>
      <charset val="178"/>
      <scheme val="minor"/>
    </font>
    <font>
      <b/>
      <sz val="12"/>
      <name val="Sakkal Majalla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rgb="FFFF0000"/>
      <name val="Arial"/>
      <family val="2"/>
      <scheme val="minor"/>
    </font>
    <font>
      <b/>
      <sz val="14"/>
      <color theme="7" tint="0.79998168889431442"/>
      <name val="Arial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/>
      <bottom/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 style="dashed">
        <color theme="0"/>
      </top>
      <bottom style="dashed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rgb="FF3855A6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rgb="FF3855A6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95" fillId="0" borderId="0"/>
    <xf numFmtId="0" fontId="93" fillId="0" borderId="0"/>
  </cellStyleXfs>
  <cellXfs count="547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1" applyFont="1" applyFill="1" applyBorder="1" applyProtection="1"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right"/>
      <protection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vertical="center" textRotation="90"/>
      <protection hidden="1"/>
    </xf>
    <xf numFmtId="0" fontId="2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shrinkToFit="1"/>
      <protection hidden="1"/>
    </xf>
    <xf numFmtId="0" fontId="24" fillId="0" borderId="0" xfId="0" applyFont="1" applyProtection="1"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 vertical="center" textRotation="90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2" fillId="0" borderId="5" xfId="0" applyFont="1" applyBorder="1" applyProtection="1">
      <protection hidden="1"/>
    </xf>
    <xf numFmtId="0" fontId="10" fillId="0" borderId="0" xfId="0" applyFont="1" applyProtection="1">
      <protection hidden="1"/>
    </xf>
    <xf numFmtId="0" fontId="25" fillId="4" borderId="4" xfId="0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3" borderId="19" xfId="0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31" fillId="2" borderId="3" xfId="0" applyFont="1" applyFill="1" applyBorder="1" applyAlignment="1" applyProtection="1">
      <alignment horizontal="center" vertical="center" shrinkToFit="1"/>
      <protection hidden="1"/>
    </xf>
    <xf numFmtId="0" fontId="31" fillId="0" borderId="0" xfId="0" applyFont="1" applyAlignment="1" applyProtection="1">
      <alignment vertical="center" shrinkToFit="1"/>
      <protection hidden="1"/>
    </xf>
    <xf numFmtId="0" fontId="31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6" fillId="0" borderId="37" xfId="0" applyFont="1" applyBorder="1" applyAlignment="1" applyProtection="1">
      <alignment horizontal="center" vertical="center"/>
      <protection hidden="1"/>
    </xf>
    <xf numFmtId="0" fontId="34" fillId="11" borderId="40" xfId="0" applyFont="1" applyFill="1" applyBorder="1" applyAlignment="1" applyProtection="1">
      <alignment horizontal="center" vertical="center"/>
      <protection hidden="1"/>
    </xf>
    <xf numFmtId="0" fontId="34" fillId="11" borderId="41" xfId="0" applyFont="1" applyFill="1" applyBorder="1" applyAlignment="1" applyProtection="1">
      <alignment horizontal="center" vertical="center"/>
      <protection hidden="1"/>
    </xf>
    <xf numFmtId="14" fontId="34" fillId="11" borderId="41" xfId="0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4" fillId="3" borderId="65" xfId="0" applyFont="1" applyFill="1" applyBorder="1" applyAlignment="1" applyProtection="1">
      <alignment vertical="center"/>
      <protection hidden="1"/>
    </xf>
    <xf numFmtId="0" fontId="47" fillId="6" borderId="0" xfId="0" applyFont="1" applyFill="1" applyAlignment="1" applyProtection="1">
      <alignment horizontal="center" vertical="center" textRotation="90"/>
      <protection hidden="1"/>
    </xf>
    <xf numFmtId="0" fontId="49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0" fontId="48" fillId="0" borderId="0" xfId="0" applyFont="1"/>
    <xf numFmtId="0" fontId="48" fillId="0" borderId="0" xfId="0" applyFont="1" applyAlignment="1">
      <alignment horizontal="center"/>
    </xf>
    <xf numFmtId="0" fontId="57" fillId="18" borderId="71" xfId="1" applyFont="1" applyFill="1" applyBorder="1"/>
    <xf numFmtId="0" fontId="53" fillId="0" borderId="0" xfId="1" applyFont="1" applyFill="1" applyBorder="1" applyAlignment="1">
      <alignment vertical="center" wrapText="1"/>
    </xf>
    <xf numFmtId="0" fontId="53" fillId="0" borderId="0" xfId="1" applyFont="1" applyFill="1" applyAlignment="1"/>
    <xf numFmtId="0" fontId="32" fillId="0" borderId="0" xfId="0" applyFont="1" applyProtection="1">
      <protection hidden="1"/>
    </xf>
    <xf numFmtId="0" fontId="10" fillId="0" borderId="39" xfId="0" applyFont="1" applyBorder="1" applyAlignment="1" applyProtection="1">
      <alignment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25" fillId="7" borderId="11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25" fillId="7" borderId="28" xfId="0" applyFont="1" applyFill="1" applyBorder="1" applyAlignment="1" applyProtection="1">
      <alignment horizontal="center" vertical="center"/>
      <protection locked="0" hidden="1"/>
    </xf>
    <xf numFmtId="0" fontId="35" fillId="8" borderId="0" xfId="0" applyFont="1" applyFill="1" applyAlignment="1" applyProtection="1">
      <alignment horizontal="center" vertical="center"/>
      <protection hidden="1"/>
    </xf>
    <xf numFmtId="0" fontId="32" fillId="8" borderId="0" xfId="0" applyFont="1" applyFill="1" applyProtection="1">
      <protection hidden="1"/>
    </xf>
    <xf numFmtId="0" fontId="0" fillId="0" borderId="60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4" fillId="14" borderId="0" xfId="0" applyFont="1" applyFill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45" fillId="2" borderId="21" xfId="0" applyFont="1" applyFill="1" applyBorder="1" applyAlignment="1" applyProtection="1">
      <alignment horizontal="center" vertical="center" shrinkToFit="1"/>
      <protection hidden="1"/>
    </xf>
    <xf numFmtId="0" fontId="31" fillId="2" borderId="10" xfId="0" applyFont="1" applyFill="1" applyBorder="1" applyAlignment="1" applyProtection="1">
      <alignment horizontal="center" vertical="center" shrinkToFit="1"/>
      <protection hidden="1"/>
    </xf>
    <xf numFmtId="0" fontId="31" fillId="2" borderId="0" xfId="0" applyFont="1" applyFill="1" applyAlignment="1" applyProtection="1">
      <alignment horizontal="center" vertical="center" shrinkToFit="1"/>
      <protection hidden="1"/>
    </xf>
    <xf numFmtId="0" fontId="43" fillId="0" borderId="0" xfId="0" applyFont="1" applyAlignment="1" applyProtection="1">
      <alignment horizontal="center" vertical="center" shrinkToFit="1"/>
      <protection hidden="1"/>
    </xf>
    <xf numFmtId="0" fontId="31" fillId="0" borderId="20" xfId="0" applyFont="1" applyBorder="1" applyAlignment="1" applyProtection="1">
      <alignment horizontal="center" vertical="center" shrinkToFit="1"/>
      <protection hidden="1"/>
    </xf>
    <xf numFmtId="0" fontId="0" fillId="0" borderId="28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shrinkToFit="1"/>
      <protection hidden="1"/>
    </xf>
    <xf numFmtId="0" fontId="32" fillId="11" borderId="0" xfId="0" applyFont="1" applyFill="1" applyProtection="1">
      <protection hidden="1"/>
    </xf>
    <xf numFmtId="0" fontId="0" fillId="11" borderId="0" xfId="0" applyFill="1" applyProtection="1">
      <protection hidden="1"/>
    </xf>
    <xf numFmtId="0" fontId="26" fillId="11" borderId="0" xfId="0" applyFont="1" applyFill="1" applyProtection="1"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46" fillId="0" borderId="18" xfId="0" applyFont="1" applyBorder="1" applyAlignment="1" applyProtection="1">
      <alignment vertical="center"/>
      <protection hidden="1"/>
    </xf>
    <xf numFmtId="0" fontId="46" fillId="0" borderId="19" xfId="0" applyFont="1" applyBorder="1" applyAlignment="1" applyProtection="1">
      <alignment vertical="center"/>
      <protection hidden="1"/>
    </xf>
    <xf numFmtId="0" fontId="25" fillId="4" borderId="34" xfId="0" applyFont="1" applyFill="1" applyBorder="1" applyAlignment="1" applyProtection="1">
      <alignment horizontal="center" vertical="center"/>
      <protection hidden="1"/>
    </xf>
    <xf numFmtId="0" fontId="42" fillId="17" borderId="0" xfId="0" applyFont="1" applyFill="1" applyAlignment="1" applyProtection="1">
      <alignment horizontal="center" vertical="center"/>
      <protection hidden="1"/>
    </xf>
    <xf numFmtId="0" fontId="0" fillId="0" borderId="38" xfId="0" applyBorder="1" applyProtection="1">
      <protection hidden="1"/>
    </xf>
    <xf numFmtId="0" fontId="12" fillId="11" borderId="0" xfId="0" applyFont="1" applyFill="1" applyProtection="1">
      <protection hidden="1"/>
    </xf>
    <xf numFmtId="0" fontId="31" fillId="0" borderId="61" xfId="0" applyFont="1" applyBorder="1" applyAlignment="1" applyProtection="1">
      <alignment vertical="center" textRotation="90" shrinkToFit="1"/>
      <protection hidden="1"/>
    </xf>
    <xf numFmtId="0" fontId="0" fillId="0" borderId="61" xfId="0" applyBorder="1" applyAlignment="1" applyProtection="1">
      <alignment horizontal="center" vertical="center" shrinkToFit="1"/>
      <protection hidden="1"/>
    </xf>
    <xf numFmtId="0" fontId="10" fillId="0" borderId="19" xfId="0" applyFont="1" applyBorder="1" applyAlignment="1" applyProtection="1">
      <alignment vertical="center"/>
      <protection hidden="1"/>
    </xf>
    <xf numFmtId="0" fontId="46" fillId="0" borderId="9" xfId="0" applyFont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2" fillId="5" borderId="6" xfId="0" applyFont="1" applyFill="1" applyBorder="1" applyAlignment="1" applyProtection="1">
      <alignment horizontal="center" vertical="center"/>
      <protection hidden="1"/>
    </xf>
    <xf numFmtId="0" fontId="30" fillId="10" borderId="6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1" fillId="0" borderId="61" xfId="0" applyFont="1" applyBorder="1" applyAlignment="1" applyProtection="1">
      <alignment horizontal="center" vertical="top" shrinkToFit="1"/>
      <protection hidden="1"/>
    </xf>
    <xf numFmtId="0" fontId="0" fillId="24" borderId="0" xfId="0" applyFill="1" applyAlignment="1" applyProtection="1">
      <alignment horizontal="center" vertical="center"/>
      <protection hidden="1"/>
    </xf>
    <xf numFmtId="0" fontId="0" fillId="24" borderId="0" xfId="0" applyFill="1" applyAlignment="1" applyProtection="1">
      <alignment horizontal="center" vertical="center" wrapText="1"/>
      <protection hidden="1"/>
    </xf>
    <xf numFmtId="0" fontId="0" fillId="24" borderId="0" xfId="0" applyFill="1" applyProtection="1"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72" fillId="0" borderId="14" xfId="0" applyFont="1" applyBorder="1" applyAlignment="1" applyProtection="1">
      <alignment horizontal="right" vertical="center" shrinkToFit="1"/>
      <protection hidden="1"/>
    </xf>
    <xf numFmtId="0" fontId="1" fillId="0" borderId="14" xfId="0" applyFont="1" applyBorder="1" applyAlignment="1" applyProtection="1">
      <alignment horizontal="right" vertical="center" shrinkToFit="1"/>
      <protection hidden="1"/>
    </xf>
    <xf numFmtId="0" fontId="72" fillId="0" borderId="15" xfId="0" applyFont="1" applyBorder="1" applyAlignment="1" applyProtection="1">
      <alignment horizontal="right" vertical="center" shrinkToFit="1"/>
      <protection hidden="1"/>
    </xf>
    <xf numFmtId="0" fontId="8" fillId="3" borderId="14" xfId="0" applyFont="1" applyFill="1" applyBorder="1" applyAlignment="1" applyProtection="1">
      <alignment horizontal="center" vertical="center" shrinkToFit="1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vertical="center" shrinkToFit="1"/>
      <protection hidden="1"/>
    </xf>
    <xf numFmtId="0" fontId="74" fillId="0" borderId="14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shrinkToFit="1"/>
      <protection hidden="1"/>
    </xf>
    <xf numFmtId="0" fontId="74" fillId="3" borderId="14" xfId="0" applyFont="1" applyFill="1" applyBorder="1" applyAlignment="1" applyProtection="1">
      <alignment vertical="center" shrinkToFit="1"/>
      <protection hidden="1"/>
    </xf>
    <xf numFmtId="0" fontId="74" fillId="3" borderId="97" xfId="0" applyFont="1" applyFill="1" applyBorder="1" applyAlignment="1" applyProtection="1">
      <alignment vertical="center" shrinkToFit="1"/>
      <protection hidden="1"/>
    </xf>
    <xf numFmtId="0" fontId="72" fillId="21" borderId="0" xfId="0" applyFont="1" applyFill="1" applyAlignment="1" applyProtection="1">
      <alignment horizontal="center" vertical="center" shrinkToFit="1"/>
      <protection hidden="1"/>
    </xf>
    <xf numFmtId="164" fontId="72" fillId="21" borderId="0" xfId="0" applyNumberFormat="1" applyFont="1" applyFill="1" applyAlignment="1" applyProtection="1">
      <alignment horizontal="center" vertical="center" shrinkToFit="1"/>
      <protection hidden="1"/>
    </xf>
    <xf numFmtId="164" fontId="72" fillId="21" borderId="99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68" fillId="3" borderId="114" xfId="0" applyFont="1" applyFill="1" applyBorder="1" applyAlignment="1">
      <alignment horizontal="center" vertical="center"/>
    </xf>
    <xf numFmtId="0" fontId="68" fillId="3" borderId="24" xfId="0" applyFont="1" applyFill="1" applyBorder="1" applyAlignment="1">
      <alignment horizontal="center" vertical="center"/>
    </xf>
    <xf numFmtId="1" fontId="68" fillId="3" borderId="115" xfId="0" applyNumberFormat="1" applyFont="1" applyFill="1" applyBorder="1" applyAlignment="1">
      <alignment horizontal="center"/>
    </xf>
    <xf numFmtId="0" fontId="68" fillId="3" borderId="115" xfId="0" applyFont="1" applyFill="1" applyBorder="1" applyAlignment="1">
      <alignment horizontal="center"/>
    </xf>
    <xf numFmtId="0" fontId="68" fillId="3" borderId="114" xfId="0" applyFont="1" applyFill="1" applyBorder="1" applyAlignment="1">
      <alignment horizontal="center"/>
    </xf>
    <xf numFmtId="0" fontId="68" fillId="3" borderId="24" xfId="0" applyFont="1" applyFill="1" applyBorder="1" applyAlignment="1">
      <alignment horizontal="center"/>
    </xf>
    <xf numFmtId="0" fontId="77" fillId="3" borderId="24" xfId="0" applyFont="1" applyFill="1" applyBorder="1" applyAlignment="1">
      <alignment horizontal="center"/>
    </xf>
    <xf numFmtId="0" fontId="68" fillId="3" borderId="24" xfId="0" applyFont="1" applyFill="1" applyBorder="1"/>
    <xf numFmtId="0" fontId="68" fillId="3" borderId="115" xfId="0" applyFont="1" applyFill="1" applyBorder="1" applyAlignment="1">
      <alignment horizontal="center" vertical="center"/>
    </xf>
    <xf numFmtId="0" fontId="83" fillId="11" borderId="103" xfId="0" applyFont="1" applyFill="1" applyBorder="1" applyAlignment="1" applyProtection="1">
      <alignment horizontal="center" vertical="center" shrinkToFit="1"/>
      <protection hidden="1"/>
    </xf>
    <xf numFmtId="0" fontId="85" fillId="6" borderId="103" xfId="0" applyFont="1" applyFill="1" applyBorder="1" applyAlignment="1" applyProtection="1">
      <alignment horizontal="center" vertical="center" shrinkToFit="1"/>
      <protection hidden="1"/>
    </xf>
    <xf numFmtId="0" fontId="86" fillId="3" borderId="103" xfId="1" applyFont="1" applyFill="1" applyBorder="1" applyAlignment="1" applyProtection="1">
      <alignment horizontal="center" vertical="center" shrinkToFit="1"/>
      <protection hidden="1"/>
    </xf>
    <xf numFmtId="0" fontId="83" fillId="24" borderId="103" xfId="0" applyFont="1" applyFill="1" applyBorder="1" applyAlignment="1" applyProtection="1">
      <alignment horizontal="center" vertical="center" shrinkToFit="1"/>
      <protection hidden="1"/>
    </xf>
    <xf numFmtId="0" fontId="87" fillId="10" borderId="103" xfId="0" applyFont="1" applyFill="1" applyBorder="1" applyAlignment="1" applyProtection="1">
      <alignment horizontal="center" vertical="center" shrinkToFit="1"/>
      <protection hidden="1"/>
    </xf>
    <xf numFmtId="0" fontId="88" fillId="10" borderId="103" xfId="0" applyFont="1" applyFill="1" applyBorder="1" applyAlignment="1" applyProtection="1">
      <alignment horizontal="center" vertical="center" shrinkToFit="1"/>
      <protection hidden="1"/>
    </xf>
    <xf numFmtId="0" fontId="86" fillId="3" borderId="103" xfId="0" applyFont="1" applyFill="1" applyBorder="1" applyAlignment="1" applyProtection="1">
      <alignment horizontal="center" vertical="center" shrinkToFit="1"/>
      <protection hidden="1"/>
    </xf>
    <xf numFmtId="0" fontId="89" fillId="6" borderId="103" xfId="1" applyFont="1" applyFill="1" applyBorder="1" applyAlignment="1" applyProtection="1">
      <alignment horizontal="center" vertical="center" shrinkToFit="1"/>
      <protection hidden="1"/>
    </xf>
    <xf numFmtId="0" fontId="83" fillId="10" borderId="103" xfId="0" applyFont="1" applyFill="1" applyBorder="1" applyAlignment="1" applyProtection="1">
      <alignment horizontal="center" vertical="center" shrinkToFit="1"/>
      <protection hidden="1"/>
    </xf>
    <xf numFmtId="0" fontId="90" fillId="6" borderId="103" xfId="0" applyFont="1" applyFill="1" applyBorder="1" applyAlignment="1" applyProtection="1">
      <alignment horizontal="center" vertical="center" shrinkToFit="1"/>
      <protection hidden="1"/>
    </xf>
    <xf numFmtId="49" fontId="86" fillId="3" borderId="103" xfId="0" applyNumberFormat="1" applyFont="1" applyFill="1" applyBorder="1" applyAlignment="1" applyProtection="1">
      <alignment horizontal="center" vertical="center" shrinkToFit="1"/>
      <protection hidden="1"/>
    </xf>
    <xf numFmtId="0" fontId="87" fillId="0" borderId="103" xfId="0" applyFont="1" applyBorder="1" applyAlignment="1" applyProtection="1">
      <alignment horizontal="center" vertical="center" shrinkToFit="1"/>
      <protection hidden="1"/>
    </xf>
    <xf numFmtId="14" fontId="91" fillId="0" borderId="103" xfId="0" applyNumberFormat="1" applyFont="1" applyBorder="1" applyAlignment="1" applyProtection="1">
      <alignment horizontal="center" vertical="center" shrinkToFit="1"/>
      <protection hidden="1"/>
    </xf>
    <xf numFmtId="0" fontId="62" fillId="12" borderId="2" xfId="0" applyFont="1" applyFill="1" applyBorder="1" applyAlignment="1" applyProtection="1">
      <alignment horizontal="center" vertical="center"/>
      <protection hidden="1"/>
    </xf>
    <xf numFmtId="0" fontId="25" fillId="12" borderId="3" xfId="0" applyFont="1" applyFill="1" applyBorder="1" applyAlignment="1" applyProtection="1">
      <alignment horizontal="center" vertical="center"/>
      <protection hidden="1"/>
    </xf>
    <xf numFmtId="0" fontId="0" fillId="5" borderId="24" xfId="0" applyFill="1" applyBorder="1" applyAlignment="1" applyProtection="1">
      <alignment horizontal="center" vertical="center" wrapText="1"/>
      <protection locked="0"/>
    </xf>
    <xf numFmtId="165" fontId="86" fillId="3" borderId="103" xfId="0" applyNumberFormat="1" applyFont="1" applyFill="1" applyBorder="1" applyAlignment="1" applyProtection="1">
      <alignment horizontal="center" vertical="center" shrinkToFit="1"/>
      <protection hidden="1"/>
    </xf>
    <xf numFmtId="0" fontId="30" fillId="11" borderId="9" xfId="0" applyFont="1" applyFill="1" applyBorder="1" applyAlignment="1">
      <alignment horizontal="center" vertical="center"/>
    </xf>
    <xf numFmtId="0" fontId="32" fillId="10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1" fillId="0" borderId="0" xfId="0" applyNumberFormat="1" applyFont="1" applyAlignment="1">
      <alignment horizontal="center" vertical="center" shrinkToFit="1"/>
    </xf>
    <xf numFmtId="0" fontId="29" fillId="9" borderId="22" xfId="0" applyFont="1" applyFill="1" applyBorder="1" applyAlignment="1">
      <alignment horizontal="center" vertical="center"/>
    </xf>
    <xf numFmtId="0" fontId="29" fillId="9" borderId="23" xfId="0" applyFont="1" applyFill="1" applyBorder="1" applyAlignment="1">
      <alignment horizontal="center" vertical="center"/>
    </xf>
    <xf numFmtId="49" fontId="29" fillId="9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9" fillId="9" borderId="98" xfId="0" applyFont="1" applyFill="1" applyBorder="1" applyAlignment="1">
      <alignment horizontal="center" vertical="center"/>
    </xf>
    <xf numFmtId="0" fontId="0" fillId="5" borderId="97" xfId="0" applyFill="1" applyBorder="1" applyAlignment="1">
      <alignment horizontal="center" vertical="center" wrapText="1"/>
    </xf>
    <xf numFmtId="0" fontId="92" fillId="9" borderId="22" xfId="0" applyFont="1" applyFill="1" applyBorder="1" applyAlignment="1">
      <alignment horizontal="center" vertical="center"/>
    </xf>
    <xf numFmtId="165" fontId="0" fillId="5" borderId="97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96" fillId="5" borderId="121" xfId="0" applyFont="1" applyFill="1" applyBorder="1" applyAlignment="1" applyProtection="1">
      <alignment horizontal="center" vertical="center" shrinkToFit="1"/>
      <protection hidden="1"/>
    </xf>
    <xf numFmtId="0" fontId="96" fillId="5" borderId="122" xfId="0" applyFont="1" applyFill="1" applyBorder="1" applyAlignment="1" applyProtection="1">
      <alignment horizontal="center" vertical="center" shrinkToFit="1"/>
      <protection hidden="1"/>
    </xf>
    <xf numFmtId="0" fontId="62" fillId="21" borderId="21" xfId="0" applyFont="1" applyFill="1" applyBorder="1" applyAlignment="1" applyProtection="1">
      <alignment horizontal="center" vertical="center"/>
      <protection hidden="1"/>
    </xf>
    <xf numFmtId="0" fontId="25" fillId="4" borderId="10" xfId="0" applyFont="1" applyFill="1" applyBorder="1" applyAlignment="1" applyProtection="1">
      <alignment horizontal="center" vertical="center"/>
      <protection locked="0" hidden="1"/>
    </xf>
    <xf numFmtId="0" fontId="25" fillId="4" borderId="28" xfId="0" applyFont="1" applyFill="1" applyBorder="1" applyAlignment="1" applyProtection="1">
      <alignment horizontal="center" vertical="center"/>
      <protection locked="0" hidden="1"/>
    </xf>
    <xf numFmtId="0" fontId="25" fillId="13" borderId="3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 shrinkToFit="1"/>
    </xf>
    <xf numFmtId="0" fontId="28" fillId="0" borderId="0" xfId="0" applyFont="1" applyAlignment="1">
      <alignment vertical="center"/>
    </xf>
    <xf numFmtId="0" fontId="33" fillId="11" borderId="40" xfId="0" applyFont="1" applyFill="1" applyBorder="1" applyAlignment="1">
      <alignment horizontal="center" vertical="center"/>
    </xf>
    <xf numFmtId="0" fontId="33" fillId="11" borderId="41" xfId="0" applyFont="1" applyFill="1" applyBorder="1" applyAlignment="1">
      <alignment horizontal="center" vertical="center"/>
    </xf>
    <xf numFmtId="14" fontId="33" fillId="11" borderId="41" xfId="0" applyNumberFormat="1" applyFont="1" applyFill="1" applyBorder="1" applyAlignment="1">
      <alignment horizontal="center" vertical="center"/>
    </xf>
    <xf numFmtId="49" fontId="33" fillId="11" borderId="41" xfId="0" applyNumberFormat="1" applyFont="1" applyFill="1" applyBorder="1" applyAlignment="1">
      <alignment horizontal="center" vertical="center"/>
    </xf>
    <xf numFmtId="0" fontId="68" fillId="21" borderId="42" xfId="0" applyFont="1" applyFill="1" applyBorder="1" applyAlignment="1">
      <alignment horizontal="center"/>
    </xf>
    <xf numFmtId="165" fontId="68" fillId="21" borderId="42" xfId="0" applyNumberFormat="1" applyFont="1" applyFill="1" applyBorder="1" applyAlignment="1">
      <alignment horizontal="center"/>
    </xf>
    <xf numFmtId="49" fontId="68" fillId="21" borderId="42" xfId="0" applyNumberFormat="1" applyFont="1" applyFill="1" applyBorder="1" applyAlignment="1">
      <alignment horizontal="center"/>
    </xf>
    <xf numFmtId="0" fontId="68" fillId="21" borderId="43" xfId="0" applyFont="1" applyFill="1" applyBorder="1" applyAlignment="1">
      <alignment horizontal="center"/>
    </xf>
    <xf numFmtId="0" fontId="68" fillId="21" borderId="49" xfId="0" applyFont="1" applyFill="1" applyBorder="1" applyAlignment="1">
      <alignment horizontal="center"/>
    </xf>
    <xf numFmtId="2" fontId="68" fillId="21" borderId="49" xfId="0" applyNumberFormat="1" applyFont="1" applyFill="1" applyBorder="1" applyAlignment="1">
      <alignment horizontal="center"/>
    </xf>
    <xf numFmtId="0" fontId="68" fillId="21" borderId="44" xfId="0" applyFont="1" applyFill="1" applyBorder="1" applyAlignment="1">
      <alignment horizontal="center"/>
    </xf>
    <xf numFmtId="0" fontId="68" fillId="21" borderId="133" xfId="0" applyFont="1" applyFill="1" applyBorder="1" applyAlignment="1">
      <alignment horizontal="center"/>
    </xf>
    <xf numFmtId="0" fontId="51" fillId="26" borderId="134" xfId="0" applyFont="1" applyFill="1" applyBorder="1" applyAlignment="1">
      <alignment horizontal="center" vertical="center"/>
    </xf>
    <xf numFmtId="0" fontId="68" fillId="9" borderId="24" xfId="0" applyFont="1" applyFill="1" applyBorder="1" applyAlignment="1">
      <alignment horizontal="center" vertical="center"/>
    </xf>
    <xf numFmtId="0" fontId="51" fillId="26" borderId="24" xfId="0" applyFont="1" applyFill="1" applyBorder="1" applyAlignment="1">
      <alignment horizontal="center" vertical="center"/>
    </xf>
    <xf numFmtId="0" fontId="68" fillId="9" borderId="115" xfId="0" applyFont="1" applyFill="1" applyBorder="1" applyAlignment="1">
      <alignment horizontal="center" vertical="center"/>
    </xf>
    <xf numFmtId="0" fontId="51" fillId="26" borderId="114" xfId="0" applyFont="1" applyFill="1" applyBorder="1" applyAlignment="1">
      <alignment horizontal="center" vertical="center"/>
    </xf>
    <xf numFmtId="0" fontId="68" fillId="9" borderId="135" xfId="0" applyFont="1" applyFill="1" applyBorder="1" applyAlignment="1">
      <alignment horizontal="center" vertical="center"/>
    </xf>
    <xf numFmtId="0" fontId="32" fillId="0" borderId="0" xfId="0" applyFont="1"/>
    <xf numFmtId="49" fontId="68" fillId="21" borderId="49" xfId="0" applyNumberFormat="1" applyFont="1" applyFill="1" applyBorder="1" applyAlignment="1">
      <alignment horizontal="center"/>
    </xf>
    <xf numFmtId="0" fontId="0" fillId="1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1" fillId="26" borderId="134" xfId="0" applyFont="1" applyFill="1" applyBorder="1" applyAlignment="1" applyProtection="1">
      <alignment horizontal="center" vertical="center"/>
      <protection hidden="1"/>
    </xf>
    <xf numFmtId="0" fontId="68" fillId="9" borderId="24" xfId="0" applyFont="1" applyFill="1" applyBorder="1" applyAlignment="1" applyProtection="1">
      <alignment horizontal="center" vertical="center"/>
      <protection hidden="1"/>
    </xf>
    <xf numFmtId="0" fontId="0" fillId="0" borderId="0" xfId="0" quotePrefix="1" applyProtection="1">
      <protection hidden="1"/>
    </xf>
    <xf numFmtId="0" fontId="80" fillId="0" borderId="0" xfId="0" applyFont="1" applyAlignment="1">
      <alignment vertical="center" wrapText="1"/>
    </xf>
    <xf numFmtId="0" fontId="46" fillId="0" borderId="0" xfId="0" applyFont="1" applyAlignment="1" applyProtection="1">
      <alignment vertical="center"/>
      <protection hidden="1"/>
    </xf>
    <xf numFmtId="0" fontId="46" fillId="0" borderId="31" xfId="0" applyFont="1" applyBorder="1" applyAlignment="1" applyProtection="1">
      <alignment vertical="center"/>
      <protection hidden="1"/>
    </xf>
    <xf numFmtId="0" fontId="33" fillId="10" borderId="0" xfId="0" applyFont="1" applyFill="1" applyAlignment="1" applyProtection="1">
      <alignment horizontal="center" vertical="center"/>
      <protection hidden="1"/>
    </xf>
    <xf numFmtId="0" fontId="28" fillId="23" borderId="99" xfId="0" applyFont="1" applyFill="1" applyBorder="1" applyAlignment="1" applyProtection="1">
      <alignment horizontal="center" vertical="center"/>
      <protection hidden="1"/>
    </xf>
    <xf numFmtId="0" fontId="10" fillId="27" borderId="0" xfId="0" applyFont="1" applyFill="1" applyAlignment="1">
      <alignment horizontal="center" vertical="center"/>
    </xf>
    <xf numFmtId="0" fontId="10" fillId="27" borderId="0" xfId="0" applyFont="1" applyFill="1" applyAlignment="1">
      <alignment horizontal="center" vertical="center" wrapText="1"/>
    </xf>
    <xf numFmtId="0" fontId="94" fillId="0" borderId="142" xfId="6" applyFont="1" applyBorder="1" applyAlignment="1">
      <alignment horizontal="right" wrapText="1"/>
    </xf>
    <xf numFmtId="0" fontId="70" fillId="0" borderId="19" xfId="0" applyFont="1" applyBorder="1" applyAlignment="1">
      <alignment horizontal="center" vertical="center"/>
    </xf>
    <xf numFmtId="0" fontId="80" fillId="0" borderId="142" xfId="0" applyFont="1" applyBorder="1" applyAlignment="1">
      <alignment vertical="center" wrapText="1"/>
    </xf>
    <xf numFmtId="49" fontId="96" fillId="5" borderId="143" xfId="0" applyNumberFormat="1" applyFont="1" applyFill="1" applyBorder="1" applyAlignment="1" applyProtection="1">
      <alignment horizontal="center" vertical="center" shrinkToFit="1"/>
      <protection locked="0" hidden="1"/>
    </xf>
    <xf numFmtId="0" fontId="96" fillId="5" borderId="143" xfId="0" applyFont="1" applyFill="1" applyBorder="1" applyAlignment="1" applyProtection="1">
      <alignment horizontal="center" vertical="center" shrinkToFit="1"/>
      <protection locked="0" hidden="1"/>
    </xf>
    <xf numFmtId="0" fontId="96" fillId="5" borderId="144" xfId="0" applyFont="1" applyFill="1" applyBorder="1" applyAlignment="1" applyProtection="1">
      <alignment horizontal="center" vertical="center" shrinkToFit="1"/>
      <protection locked="0" hidden="1"/>
    </xf>
    <xf numFmtId="0" fontId="96" fillId="5" borderId="145" xfId="0" applyFont="1" applyFill="1" applyBorder="1" applyAlignment="1" applyProtection="1">
      <alignment horizontal="center" vertical="center" shrinkToFit="1"/>
      <protection hidden="1"/>
    </xf>
    <xf numFmtId="165" fontId="96" fillId="5" borderId="145" xfId="0" applyNumberFormat="1" applyFont="1" applyFill="1" applyBorder="1" applyAlignment="1" applyProtection="1">
      <alignment horizontal="center" vertical="center" shrinkToFit="1"/>
      <protection hidden="1"/>
    </xf>
    <xf numFmtId="0" fontId="57" fillId="18" borderId="70" xfId="1" applyFont="1" applyFill="1" applyBorder="1" applyAlignment="1">
      <alignment horizontal="right"/>
    </xf>
    <xf numFmtId="0" fontId="57" fillId="18" borderId="48" xfId="1" applyFont="1" applyFill="1" applyBorder="1" applyAlignment="1">
      <alignment horizontal="right"/>
    </xf>
    <xf numFmtId="0" fontId="57" fillId="18" borderId="71" xfId="1" applyFont="1" applyFill="1" applyBorder="1" applyAlignment="1">
      <alignment horizontal="right"/>
    </xf>
    <xf numFmtId="0" fontId="55" fillId="18" borderId="90" xfId="0" applyFont="1" applyFill="1" applyBorder="1" applyAlignment="1">
      <alignment horizontal="right" vertical="center"/>
    </xf>
    <xf numFmtId="0" fontId="55" fillId="18" borderId="66" xfId="0" applyFont="1" applyFill="1" applyBorder="1" applyAlignment="1">
      <alignment horizontal="right" vertical="center"/>
    </xf>
    <xf numFmtId="0" fontId="55" fillId="18" borderId="91" xfId="0" applyFont="1" applyFill="1" applyBorder="1" applyAlignment="1">
      <alignment horizontal="right" vertical="center"/>
    </xf>
    <xf numFmtId="9" fontId="55" fillId="18" borderId="82" xfId="1" applyNumberFormat="1" applyFont="1" applyFill="1" applyBorder="1" applyAlignment="1">
      <alignment horizontal="right" vertical="center"/>
    </xf>
    <xf numFmtId="0" fontId="55" fillId="18" borderId="83" xfId="1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9" xfId="0" applyFont="1" applyBorder="1" applyAlignment="1">
      <alignment horizontal="right"/>
    </xf>
    <xf numFmtId="0" fontId="60" fillId="18" borderId="79" xfId="0" applyFont="1" applyFill="1" applyBorder="1" applyAlignment="1">
      <alignment horizontal="center" vertical="center"/>
    </xf>
    <xf numFmtId="0" fontId="58" fillId="18" borderId="80" xfId="0" applyFont="1" applyFill="1" applyBorder="1" applyAlignment="1">
      <alignment horizontal="center" vertical="center"/>
    </xf>
    <xf numFmtId="0" fontId="58" fillId="18" borderId="81" xfId="0" applyFont="1" applyFill="1" applyBorder="1" applyAlignment="1">
      <alignment horizontal="center" vertical="center"/>
    </xf>
    <xf numFmtId="0" fontId="58" fillId="18" borderId="82" xfId="0" applyFont="1" applyFill="1" applyBorder="1" applyAlignment="1">
      <alignment horizontal="center" vertical="center"/>
    </xf>
    <xf numFmtId="0" fontId="58" fillId="18" borderId="86" xfId="0" applyFont="1" applyFill="1" applyBorder="1" applyAlignment="1">
      <alignment horizontal="center" vertical="center"/>
    </xf>
    <xf numFmtId="0" fontId="58" fillId="18" borderId="87" xfId="0" applyFont="1" applyFill="1" applyBorder="1" applyAlignment="1">
      <alignment horizontal="center" vertical="center"/>
    </xf>
    <xf numFmtId="0" fontId="58" fillId="18" borderId="88" xfId="0" applyFont="1" applyFill="1" applyBorder="1" applyAlignment="1">
      <alignment horizontal="center" vertical="center"/>
    </xf>
    <xf numFmtId="0" fontId="58" fillId="18" borderId="89" xfId="0" applyFont="1" applyFill="1" applyBorder="1" applyAlignment="1">
      <alignment horizontal="center" vertical="center"/>
    </xf>
    <xf numFmtId="0" fontId="57" fillId="18" borderId="67" xfId="1" applyFont="1" applyFill="1" applyBorder="1" applyAlignment="1">
      <alignment horizontal="right"/>
    </xf>
    <xf numFmtId="0" fontId="57" fillId="18" borderId="68" xfId="1" applyFont="1" applyFill="1" applyBorder="1" applyAlignment="1">
      <alignment horizontal="right"/>
    </xf>
    <xf numFmtId="0" fontId="57" fillId="18" borderId="69" xfId="1" applyFont="1" applyFill="1" applyBorder="1" applyAlignment="1">
      <alignment horizontal="right"/>
    </xf>
    <xf numFmtId="0" fontId="55" fillId="18" borderId="70" xfId="0" applyFont="1" applyFill="1" applyBorder="1" applyAlignment="1">
      <alignment horizontal="center"/>
    </xf>
    <xf numFmtId="0" fontId="55" fillId="18" borderId="48" xfId="0" applyFont="1" applyFill="1" applyBorder="1" applyAlignment="1">
      <alignment horizontal="center"/>
    </xf>
    <xf numFmtId="0" fontId="55" fillId="18" borderId="81" xfId="0" applyFont="1" applyFill="1" applyBorder="1" applyAlignment="1">
      <alignment horizontal="right" vertical="center"/>
    </xf>
    <xf numFmtId="0" fontId="55" fillId="18" borderId="82" xfId="0" applyFont="1" applyFill="1" applyBorder="1" applyAlignment="1">
      <alignment horizontal="right" vertical="center"/>
    </xf>
    <xf numFmtId="0" fontId="55" fillId="18" borderId="70" xfId="0" applyFont="1" applyFill="1" applyBorder="1" applyAlignment="1">
      <alignment horizontal="right"/>
    </xf>
    <xf numFmtId="0" fontId="55" fillId="18" borderId="48" xfId="0" applyFont="1" applyFill="1" applyBorder="1" applyAlignment="1">
      <alignment horizontal="right"/>
    </xf>
    <xf numFmtId="0" fontId="55" fillId="18" borderId="71" xfId="0" applyFont="1" applyFill="1" applyBorder="1" applyAlignment="1">
      <alignment horizontal="right"/>
    </xf>
    <xf numFmtId="0" fontId="55" fillId="18" borderId="90" xfId="0" applyFont="1" applyFill="1" applyBorder="1" applyAlignment="1">
      <alignment horizontal="right" vertical="center" wrapText="1"/>
    </xf>
    <xf numFmtId="0" fontId="55" fillId="18" borderId="66" xfId="0" applyFont="1" applyFill="1" applyBorder="1" applyAlignment="1">
      <alignment horizontal="right" vertical="center" wrapText="1"/>
    </xf>
    <xf numFmtId="0" fontId="55" fillId="18" borderId="91" xfId="0" applyFont="1" applyFill="1" applyBorder="1" applyAlignment="1">
      <alignment horizontal="right" vertical="center" wrapText="1"/>
    </xf>
    <xf numFmtId="0" fontId="61" fillId="18" borderId="82" xfId="0" applyFont="1" applyFill="1" applyBorder="1" applyAlignment="1">
      <alignment horizontal="right" vertical="center"/>
    </xf>
    <xf numFmtId="0" fontId="61" fillId="18" borderId="83" xfId="0" applyFont="1" applyFill="1" applyBorder="1" applyAlignment="1">
      <alignment horizontal="right" vertical="center"/>
    </xf>
    <xf numFmtId="0" fontId="55" fillId="18" borderId="90" xfId="0" applyFont="1" applyFill="1" applyBorder="1" applyAlignment="1">
      <alignment horizontal="right"/>
    </xf>
    <xf numFmtId="0" fontId="55" fillId="18" borderId="66" xfId="0" applyFont="1" applyFill="1" applyBorder="1" applyAlignment="1">
      <alignment horizontal="right"/>
    </xf>
    <xf numFmtId="0" fontId="55" fillId="18" borderId="91" xfId="0" applyFont="1" applyFill="1" applyBorder="1" applyAlignment="1">
      <alignment horizontal="right"/>
    </xf>
    <xf numFmtId="9" fontId="55" fillId="18" borderId="82" xfId="0" applyNumberFormat="1" applyFont="1" applyFill="1" applyBorder="1" applyAlignment="1">
      <alignment horizontal="right" vertical="center"/>
    </xf>
    <xf numFmtId="0" fontId="55" fillId="18" borderId="83" xfId="0" applyFont="1" applyFill="1" applyBorder="1" applyAlignment="1">
      <alignment horizontal="right" vertical="center"/>
    </xf>
    <xf numFmtId="0" fontId="55" fillId="18" borderId="81" xfId="0" applyFont="1" applyFill="1" applyBorder="1" applyAlignment="1">
      <alignment horizontal="right" vertical="center" wrapText="1"/>
    </xf>
    <xf numFmtId="0" fontId="55" fillId="18" borderId="82" xfId="0" applyFont="1" applyFill="1" applyBorder="1" applyAlignment="1">
      <alignment horizontal="right" vertical="center" wrapText="1"/>
    </xf>
    <xf numFmtId="9" fontId="55" fillId="11" borderId="82" xfId="0" applyNumberFormat="1" applyFont="1" applyFill="1" applyBorder="1" applyAlignment="1">
      <alignment horizontal="right"/>
    </xf>
    <xf numFmtId="0" fontId="55" fillId="11" borderId="83" xfId="0" applyFont="1" applyFill="1" applyBorder="1" applyAlignment="1">
      <alignment horizontal="right"/>
    </xf>
    <xf numFmtId="0" fontId="55" fillId="11" borderId="82" xfId="0" applyFont="1" applyFill="1" applyBorder="1" applyAlignment="1">
      <alignment horizontal="right"/>
    </xf>
    <xf numFmtId="0" fontId="55" fillId="18" borderId="72" xfId="0" applyFont="1" applyFill="1" applyBorder="1" applyAlignment="1">
      <alignment horizontal="right"/>
    </xf>
    <xf numFmtId="0" fontId="55" fillId="18" borderId="73" xfId="0" applyFont="1" applyFill="1" applyBorder="1" applyAlignment="1">
      <alignment horizontal="right"/>
    </xf>
    <xf numFmtId="0" fontId="55" fillId="18" borderId="74" xfId="0" applyFont="1" applyFill="1" applyBorder="1" applyAlignment="1">
      <alignment horizontal="right"/>
    </xf>
    <xf numFmtId="0" fontId="56" fillId="18" borderId="48" xfId="1" applyFont="1" applyFill="1" applyBorder="1" applyAlignment="1">
      <alignment horizontal="center"/>
    </xf>
    <xf numFmtId="0" fontId="56" fillId="18" borderId="71" xfId="1" applyFont="1" applyFill="1" applyBorder="1" applyAlignment="1">
      <alignment horizontal="center"/>
    </xf>
    <xf numFmtId="9" fontId="55" fillId="18" borderId="82" xfId="0" applyNumberFormat="1" applyFont="1" applyFill="1" applyBorder="1" applyAlignment="1">
      <alignment horizontal="right" vertical="center" wrapText="1"/>
    </xf>
    <xf numFmtId="0" fontId="55" fillId="18" borderId="83" xfId="0" applyFont="1" applyFill="1" applyBorder="1" applyAlignment="1">
      <alignment horizontal="right" vertical="center" wrapText="1"/>
    </xf>
    <xf numFmtId="0" fontId="55" fillId="18" borderId="75" xfId="0" applyFont="1" applyFill="1" applyBorder="1" applyAlignment="1">
      <alignment horizontal="center" wrapText="1"/>
    </xf>
    <xf numFmtId="0" fontId="55" fillId="18" borderId="63" xfId="0" applyFont="1" applyFill="1" applyBorder="1" applyAlignment="1">
      <alignment horizontal="center" wrapText="1"/>
    </xf>
    <xf numFmtId="0" fontId="55" fillId="18" borderId="76" xfId="0" applyFont="1" applyFill="1" applyBorder="1" applyAlignment="1">
      <alignment horizontal="center" wrapText="1"/>
    </xf>
    <xf numFmtId="0" fontId="55" fillId="18" borderId="77" xfId="0" applyFont="1" applyFill="1" applyBorder="1" applyAlignment="1">
      <alignment horizontal="center" wrapText="1"/>
    </xf>
    <xf numFmtId="0" fontId="55" fillId="18" borderId="62" xfId="0" applyFont="1" applyFill="1" applyBorder="1" applyAlignment="1">
      <alignment horizontal="center" wrapText="1"/>
    </xf>
    <xf numFmtId="0" fontId="55" fillId="18" borderId="78" xfId="0" applyFont="1" applyFill="1" applyBorder="1" applyAlignment="1">
      <alignment horizontal="center" wrapText="1"/>
    </xf>
    <xf numFmtId="0" fontId="55" fillId="18" borderId="90" xfId="0" applyFont="1" applyFill="1" applyBorder="1" applyAlignment="1">
      <alignment horizontal="right" wrapText="1"/>
    </xf>
    <xf numFmtId="0" fontId="55" fillId="18" borderId="66" xfId="0" applyFont="1" applyFill="1" applyBorder="1" applyAlignment="1">
      <alignment horizontal="right" wrapText="1"/>
    </xf>
    <xf numFmtId="0" fontId="55" fillId="18" borderId="91" xfId="0" applyFont="1" applyFill="1" applyBorder="1" applyAlignment="1">
      <alignment horizontal="right" wrapText="1"/>
    </xf>
    <xf numFmtId="0" fontId="55" fillId="18" borderId="82" xfId="0" applyFont="1" applyFill="1" applyBorder="1" applyAlignment="1">
      <alignment horizontal="right" readingOrder="1"/>
    </xf>
    <xf numFmtId="0" fontId="55" fillId="18" borderId="83" xfId="0" applyFont="1" applyFill="1" applyBorder="1" applyAlignment="1">
      <alignment horizontal="right" readingOrder="1"/>
    </xf>
    <xf numFmtId="0" fontId="55" fillId="18" borderId="92" xfId="0" applyFont="1" applyFill="1" applyBorder="1" applyAlignment="1">
      <alignment horizontal="right" vertical="center"/>
    </xf>
    <xf numFmtId="0" fontId="55" fillId="18" borderId="93" xfId="0" applyFont="1" applyFill="1" applyBorder="1" applyAlignment="1">
      <alignment horizontal="right" vertical="center"/>
    </xf>
    <xf numFmtId="0" fontId="55" fillId="18" borderId="94" xfId="0" applyFont="1" applyFill="1" applyBorder="1" applyAlignment="1">
      <alignment horizontal="right" vertical="center"/>
    </xf>
    <xf numFmtId="9" fontId="55" fillId="18" borderId="84" xfId="0" applyNumberFormat="1" applyFont="1" applyFill="1" applyBorder="1" applyAlignment="1">
      <alignment horizontal="right" vertical="center"/>
    </xf>
    <xf numFmtId="0" fontId="55" fillId="18" borderId="85" xfId="0" applyFont="1" applyFill="1" applyBorder="1" applyAlignment="1">
      <alignment horizontal="right" vertical="center"/>
    </xf>
    <xf numFmtId="0" fontId="54" fillId="0" borderId="18" xfId="0" applyFont="1" applyBorder="1" applyAlignment="1">
      <alignment horizontal="center" wrapText="1"/>
    </xf>
    <xf numFmtId="0" fontId="54" fillId="0" borderId="5" xfId="0" applyFont="1" applyBorder="1" applyAlignment="1">
      <alignment horizontal="center" wrapText="1"/>
    </xf>
    <xf numFmtId="0" fontId="54" fillId="0" borderId="36" xfId="0" applyFont="1" applyBorder="1" applyAlignment="1">
      <alignment horizontal="center" wrapText="1"/>
    </xf>
    <xf numFmtId="0" fontId="54" fillId="0" borderId="19" xfId="0" applyFont="1" applyBorder="1" applyAlignment="1">
      <alignment horizontal="center" wrapText="1"/>
    </xf>
    <xf numFmtId="0" fontId="54" fillId="0" borderId="0" xfId="0" applyFont="1" applyAlignment="1">
      <alignment horizontal="center" wrapText="1"/>
    </xf>
    <xf numFmtId="0" fontId="54" fillId="0" borderId="31" xfId="0" applyFont="1" applyBorder="1" applyAlignment="1">
      <alignment horizontal="center" wrapText="1"/>
    </xf>
    <xf numFmtId="0" fontId="54" fillId="0" borderId="8" xfId="0" applyFont="1" applyBorder="1" applyAlignment="1">
      <alignment horizontal="center" wrapText="1"/>
    </xf>
    <xf numFmtId="0" fontId="54" fillId="0" borderId="9" xfId="0" applyFont="1" applyBorder="1" applyAlignment="1">
      <alignment horizontal="center" wrapText="1"/>
    </xf>
    <xf numFmtId="0" fontId="54" fillId="0" borderId="33" xfId="0" applyFont="1" applyBorder="1" applyAlignment="1">
      <alignment horizontal="center" wrapText="1"/>
    </xf>
    <xf numFmtId="0" fontId="55" fillId="18" borderId="70" xfId="0" applyFont="1" applyFill="1" applyBorder="1" applyAlignment="1">
      <alignment horizontal="right" wrapText="1"/>
    </xf>
    <xf numFmtId="0" fontId="55" fillId="18" borderId="48" xfId="0" applyFont="1" applyFill="1" applyBorder="1" applyAlignment="1">
      <alignment horizontal="right" wrapText="1"/>
    </xf>
    <xf numFmtId="0" fontId="55" fillId="18" borderId="71" xfId="0" applyFont="1" applyFill="1" applyBorder="1" applyAlignment="1">
      <alignment horizontal="right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5" fillId="18" borderId="63" xfId="0" applyFont="1" applyFill="1" applyBorder="1" applyAlignment="1">
      <alignment horizontal="right" wrapText="1"/>
    </xf>
    <xf numFmtId="0" fontId="55" fillId="18" borderId="0" xfId="0" applyFont="1" applyFill="1" applyAlignment="1">
      <alignment horizontal="right" wrapText="1"/>
    </xf>
    <xf numFmtId="0" fontId="55" fillId="18" borderId="9" xfId="0" applyFont="1" applyFill="1" applyBorder="1" applyAlignment="1">
      <alignment horizontal="right" wrapText="1"/>
    </xf>
    <xf numFmtId="0" fontId="51" fillId="0" borderId="0" xfId="0" applyFont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9" fillId="23" borderId="0" xfId="0" applyFont="1" applyFill="1" applyAlignment="1">
      <alignment horizontal="center" vertical="center"/>
    </xf>
    <xf numFmtId="0" fontId="78" fillId="6" borderId="0" xfId="0" applyFont="1" applyFill="1" applyAlignment="1" applyProtection="1">
      <alignment horizontal="center"/>
      <protection hidden="1"/>
    </xf>
    <xf numFmtId="164" fontId="81" fillId="3" borderId="38" xfId="0" applyNumberFormat="1" applyFont="1" applyFill="1" applyBorder="1" applyAlignment="1" applyProtection="1">
      <alignment horizontal="center" vertic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  <xf numFmtId="164" fontId="27" fillId="12" borderId="0" xfId="0" applyNumberFormat="1" applyFont="1" applyFill="1" applyAlignment="1" applyProtection="1">
      <alignment horizontal="center" vertical="center" shrinkToFit="1"/>
      <protection hidden="1"/>
    </xf>
    <xf numFmtId="0" fontId="65" fillId="19" borderId="38" xfId="0" applyFont="1" applyFill="1" applyBorder="1" applyAlignment="1" applyProtection="1">
      <alignment horizontal="center" vertical="center"/>
      <protection hidden="1"/>
    </xf>
    <xf numFmtId="164" fontId="27" fillId="12" borderId="38" xfId="0" applyNumberFormat="1" applyFont="1" applyFill="1" applyBorder="1" applyAlignment="1" applyProtection="1">
      <alignment horizontal="center" vertical="center" shrinkToFit="1"/>
      <protection hidden="1"/>
    </xf>
    <xf numFmtId="0" fontId="64" fillId="19" borderId="38" xfId="0" applyFont="1" applyFill="1" applyBorder="1" applyAlignment="1" applyProtection="1">
      <alignment horizontal="center"/>
      <protection hidden="1"/>
    </xf>
    <xf numFmtId="0" fontId="27" fillId="12" borderId="0" xfId="0" applyFont="1" applyFill="1" applyAlignment="1" applyProtection="1">
      <alignment horizontal="center" vertical="center"/>
      <protection locked="0" hidden="1"/>
    </xf>
    <xf numFmtId="164" fontId="26" fillId="12" borderId="38" xfId="0" applyNumberFormat="1" applyFont="1" applyFill="1" applyBorder="1" applyAlignment="1" applyProtection="1">
      <alignment horizontal="center" vertical="center" shrinkToFit="1"/>
      <protection hidden="1"/>
    </xf>
    <xf numFmtId="0" fontId="67" fillId="20" borderId="0" xfId="0" applyFont="1" applyFill="1" applyAlignment="1" applyProtection="1">
      <alignment horizontal="center" vertical="center"/>
      <protection hidden="1"/>
    </xf>
    <xf numFmtId="0" fontId="41" fillId="20" borderId="0" xfId="0" applyFont="1" applyFill="1" applyAlignment="1" applyProtection="1">
      <alignment horizontal="center" vertical="center" shrinkToFit="1"/>
      <protection hidden="1"/>
    </xf>
    <xf numFmtId="164" fontId="66" fillId="12" borderId="38" xfId="0" applyNumberFormat="1" applyFont="1" applyFill="1" applyBorder="1" applyAlignment="1" applyProtection="1">
      <alignment horizontal="center" vertical="center" shrinkToFit="1"/>
      <protection hidden="1"/>
    </xf>
    <xf numFmtId="0" fontId="2" fillId="5" borderId="6" xfId="0" applyFont="1" applyFill="1" applyBorder="1" applyAlignment="1" applyProtection="1">
      <alignment horizontal="center" vertical="center"/>
      <protection hidden="1"/>
    </xf>
    <xf numFmtId="0" fontId="2" fillId="5" borderId="32" xfId="0" applyFont="1" applyFill="1" applyBorder="1" applyAlignment="1" applyProtection="1">
      <alignment horizontal="center" vertical="center"/>
      <protection hidden="1"/>
    </xf>
    <xf numFmtId="0" fontId="2" fillId="5" borderId="26" xfId="0" applyFont="1" applyFill="1" applyBorder="1" applyAlignment="1" applyProtection="1">
      <alignment horizontal="center" vertical="center"/>
      <protection hidden="1"/>
    </xf>
    <xf numFmtId="0" fontId="36" fillId="5" borderId="26" xfId="0" applyFont="1" applyFill="1" applyBorder="1" applyAlignment="1" applyProtection="1">
      <alignment horizontal="center" vertical="center"/>
      <protection hidden="1"/>
    </xf>
    <xf numFmtId="0" fontId="36" fillId="5" borderId="6" xfId="0" applyFont="1" applyFill="1" applyBorder="1" applyAlignment="1" applyProtection="1">
      <alignment horizontal="center" vertical="center"/>
      <protection hidden="1"/>
    </xf>
    <xf numFmtId="0" fontId="36" fillId="5" borderId="32" xfId="0" applyFont="1" applyFill="1" applyBorder="1" applyAlignment="1" applyProtection="1">
      <alignment horizontal="center" vertical="center"/>
      <protection hidden="1"/>
    </xf>
    <xf numFmtId="0" fontId="5" fillId="21" borderId="10" xfId="0" applyFont="1" applyFill="1" applyBorder="1" applyAlignment="1" applyProtection="1">
      <alignment horizontal="center" vertical="center" shrinkToFit="1"/>
      <protection hidden="1"/>
    </xf>
    <xf numFmtId="0" fontId="5" fillId="12" borderId="17" xfId="0" applyFont="1" applyFill="1" applyBorder="1" applyAlignment="1" applyProtection="1">
      <alignment horizontal="center" vertical="center" wrapText="1"/>
      <protection hidden="1"/>
    </xf>
    <xf numFmtId="0" fontId="5" fillId="12" borderId="17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21" borderId="123" xfId="0" applyFont="1" applyFill="1" applyBorder="1" applyAlignment="1" applyProtection="1">
      <alignment horizontal="center" vertical="center" shrinkToFit="1"/>
      <protection hidden="1"/>
    </xf>
    <xf numFmtId="0" fontId="5" fillId="21" borderId="6" xfId="0" applyFont="1" applyFill="1" applyBorder="1" applyAlignment="1" applyProtection="1">
      <alignment horizontal="center" vertical="center" shrinkToFit="1"/>
      <protection hidden="1"/>
    </xf>
    <xf numFmtId="0" fontId="5" fillId="21" borderId="124" xfId="0" applyFont="1" applyFill="1" applyBorder="1" applyAlignment="1" applyProtection="1">
      <alignment horizontal="center" vertical="center" shrinkToFit="1"/>
      <protection hidden="1"/>
    </xf>
    <xf numFmtId="0" fontId="30" fillId="11" borderId="8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30" fillId="11" borderId="118" xfId="0" applyFont="1" applyFill="1" applyBorder="1" applyAlignment="1">
      <alignment horizontal="center" vertical="center" wrapText="1"/>
    </xf>
    <xf numFmtId="0" fontId="30" fillId="11" borderId="119" xfId="0" applyFont="1" applyFill="1" applyBorder="1" applyAlignment="1">
      <alignment horizontal="center" vertical="center" wrapText="1"/>
    </xf>
    <xf numFmtId="0" fontId="30" fillId="10" borderId="6" xfId="0" applyFont="1" applyFill="1" applyBorder="1" applyAlignment="1" applyProtection="1">
      <alignment horizontal="center" vertical="center"/>
      <protection hidden="1"/>
    </xf>
    <xf numFmtId="0" fontId="30" fillId="10" borderId="32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37" fillId="11" borderId="0" xfId="1" applyFont="1" applyFill="1" applyBorder="1" applyAlignment="1" applyProtection="1">
      <alignment horizontal="center" vertical="center" wrapText="1"/>
      <protection hidden="1"/>
    </xf>
    <xf numFmtId="0" fontId="30" fillId="10" borderId="26" xfId="0" applyFont="1" applyFill="1" applyBorder="1" applyAlignment="1" applyProtection="1">
      <alignment horizontal="center" vertical="center"/>
      <protection hidden="1"/>
    </xf>
    <xf numFmtId="0" fontId="38" fillId="11" borderId="19" xfId="1" applyFont="1" applyFill="1" applyBorder="1" applyAlignment="1" applyProtection="1">
      <alignment horizontal="center" vertical="center"/>
      <protection hidden="1"/>
    </xf>
    <xf numFmtId="0" fontId="38" fillId="11" borderId="0" xfId="1" applyFont="1" applyFill="1" applyBorder="1" applyAlignment="1" applyProtection="1">
      <alignment horizontal="center" vertical="center"/>
      <protection hidden="1"/>
    </xf>
    <xf numFmtId="0" fontId="38" fillId="11" borderId="19" xfId="1" applyFont="1" applyFill="1" applyBorder="1" applyAlignment="1" applyProtection="1">
      <alignment horizontal="center" vertical="center" wrapText="1"/>
      <protection hidden="1"/>
    </xf>
    <xf numFmtId="0" fontId="38" fillId="11" borderId="0" xfId="1" applyFont="1" applyFill="1" applyBorder="1" applyAlignment="1" applyProtection="1">
      <alignment horizontal="center" vertical="center" wrapText="1"/>
      <protection hidden="1"/>
    </xf>
    <xf numFmtId="0" fontId="83" fillId="24" borderId="103" xfId="0" applyFont="1" applyFill="1" applyBorder="1" applyAlignment="1" applyProtection="1">
      <alignment horizontal="center" vertical="center" shrinkToFit="1"/>
      <protection hidden="1"/>
    </xf>
    <xf numFmtId="0" fontId="83" fillId="11" borderId="103" xfId="0" applyFont="1" applyFill="1" applyBorder="1" applyAlignment="1" applyProtection="1">
      <alignment horizontal="center" vertical="center" shrinkToFit="1"/>
      <protection hidden="1"/>
    </xf>
    <xf numFmtId="0" fontId="84" fillId="3" borderId="103" xfId="1" applyFont="1" applyFill="1" applyBorder="1" applyAlignment="1" applyProtection="1">
      <alignment horizontal="center" vertical="center" wrapText="1" shrinkToFit="1"/>
      <protection hidden="1"/>
    </xf>
    <xf numFmtId="0" fontId="84" fillId="3" borderId="103" xfId="1" applyFont="1" applyFill="1" applyBorder="1" applyAlignment="1" applyProtection="1">
      <alignment horizontal="center" vertical="center" shrinkToFit="1"/>
      <protection hidden="1"/>
    </xf>
    <xf numFmtId="0" fontId="86" fillId="3" borderId="103" xfId="1" applyFont="1" applyFill="1" applyBorder="1" applyAlignment="1" applyProtection="1">
      <alignment horizontal="center" vertical="center" shrinkToFit="1"/>
      <protection hidden="1"/>
    </xf>
    <xf numFmtId="0" fontId="86" fillId="3" borderId="103" xfId="1" applyNumberFormat="1" applyFont="1" applyFill="1" applyBorder="1" applyAlignment="1" applyProtection="1">
      <alignment horizontal="center" vertical="center" shrinkToFit="1"/>
      <protection hidden="1"/>
    </xf>
    <xf numFmtId="165" fontId="86" fillId="3" borderId="103" xfId="1" applyNumberFormat="1" applyFont="1" applyFill="1" applyBorder="1" applyAlignment="1" applyProtection="1">
      <alignment horizontal="center" vertical="center" shrinkToFit="1"/>
      <protection hidden="1"/>
    </xf>
    <xf numFmtId="2" fontId="86" fillId="3" borderId="103" xfId="1" applyNumberFormat="1" applyFont="1" applyFill="1" applyBorder="1" applyAlignment="1" applyProtection="1">
      <alignment horizontal="center" vertical="center" shrinkToFit="1"/>
      <protection hidden="1"/>
    </xf>
    <xf numFmtId="0" fontId="86" fillId="3" borderId="103" xfId="0" applyFont="1" applyFill="1" applyBorder="1" applyAlignment="1" applyProtection="1">
      <alignment horizontal="center" vertical="center" shrinkToFit="1"/>
      <protection hidden="1"/>
    </xf>
    <xf numFmtId="0" fontId="83" fillId="25" borderId="103" xfId="0" applyFont="1" applyFill="1" applyBorder="1" applyAlignment="1" applyProtection="1">
      <alignment horizontal="center" vertical="center" shrinkToFit="1"/>
      <protection hidden="1"/>
    </xf>
    <xf numFmtId="0" fontId="86" fillId="3" borderId="103" xfId="1" applyFont="1" applyFill="1" applyBorder="1" applyAlignment="1" applyProtection="1">
      <alignment horizontal="center" vertical="center" shrinkToFit="1"/>
      <protection locked="0" hidden="1"/>
    </xf>
    <xf numFmtId="49" fontId="86" fillId="3" borderId="103" xfId="1" applyNumberFormat="1" applyFont="1" applyFill="1" applyBorder="1" applyAlignment="1" applyProtection="1">
      <alignment horizontal="center" vertical="center" shrinkToFit="1"/>
      <protection hidden="1"/>
    </xf>
    <xf numFmtId="0" fontId="84" fillId="0" borderId="103" xfId="1" applyFont="1" applyFill="1" applyBorder="1" applyAlignment="1" applyProtection="1">
      <alignment horizontal="center" vertical="center" shrinkToFit="1"/>
      <protection hidden="1"/>
    </xf>
    <xf numFmtId="0" fontId="86" fillId="0" borderId="103" xfId="0" applyFont="1" applyBorder="1" applyAlignment="1" applyProtection="1">
      <alignment horizontal="center" vertical="center" shrinkToFit="1"/>
      <protection hidden="1"/>
    </xf>
    <xf numFmtId="0" fontId="86" fillId="0" borderId="103" xfId="1" applyFont="1" applyFill="1" applyBorder="1" applyAlignment="1" applyProtection="1">
      <alignment horizontal="center" vertical="center" shrinkToFit="1"/>
      <protection hidden="1"/>
    </xf>
    <xf numFmtId="0" fontId="0" fillId="24" borderId="104" xfId="0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right" vertical="center" shrinkToFit="1"/>
      <protection hidden="1"/>
    </xf>
    <xf numFmtId="0" fontId="1" fillId="0" borderId="13" xfId="0" applyFont="1" applyBorder="1" applyAlignment="1" applyProtection="1">
      <alignment horizontal="right" vertical="center" shrinkToFit="1"/>
      <protection hidden="1"/>
    </xf>
    <xf numFmtId="0" fontId="1" fillId="0" borderId="100" xfId="0" applyFont="1" applyBorder="1" applyAlignment="1" applyProtection="1">
      <alignment horizontal="right" vertical="center" shrinkToFit="1"/>
      <protection hidden="1"/>
    </xf>
    <xf numFmtId="0" fontId="75" fillId="6" borderId="1" xfId="0" applyFont="1" applyFill="1" applyBorder="1" applyAlignment="1" applyProtection="1">
      <alignment horizontal="center" vertical="center" shrinkToFit="1"/>
      <protection hidden="1"/>
    </xf>
    <xf numFmtId="0" fontId="75" fillId="6" borderId="13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right" vertical="top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74" fillId="0" borderId="96" xfId="0" applyFont="1" applyBorder="1" applyAlignment="1" applyProtection="1">
      <alignment horizontal="right" vertical="center" shrinkToFit="1"/>
      <protection hidden="1"/>
    </xf>
    <xf numFmtId="0" fontId="74" fillId="0" borderId="14" xfId="0" applyFont="1" applyBorder="1" applyAlignment="1" applyProtection="1">
      <alignment horizontal="right" vertical="center" shrinkToFit="1"/>
      <protection hidden="1"/>
    </xf>
    <xf numFmtId="164" fontId="74" fillId="3" borderId="14" xfId="0" applyNumberFormat="1" applyFont="1" applyFill="1" applyBorder="1" applyAlignment="1" applyProtection="1">
      <alignment horizontal="right" vertical="center" shrinkToFit="1"/>
      <protection hidden="1"/>
    </xf>
    <xf numFmtId="164" fontId="74" fillId="3" borderId="97" xfId="0" applyNumberFormat="1" applyFont="1" applyFill="1" applyBorder="1" applyAlignment="1" applyProtection="1">
      <alignment horizontal="right" vertical="center" shrinkToFit="1"/>
      <protection hidden="1"/>
    </xf>
    <xf numFmtId="0" fontId="74" fillId="0" borderId="27" xfId="0" applyFont="1" applyBorder="1" applyAlignment="1" applyProtection="1">
      <alignment horizontal="center" vertical="center" shrinkToFit="1"/>
      <protection hidden="1"/>
    </xf>
    <xf numFmtId="0" fontId="74" fillId="0" borderId="15" xfId="0" applyFont="1" applyBorder="1" applyAlignment="1" applyProtection="1">
      <alignment horizontal="center" vertical="center" shrinkToFit="1"/>
      <protection hidden="1"/>
    </xf>
    <xf numFmtId="164" fontId="8" fillId="3" borderId="15" xfId="0" applyNumberFormat="1" applyFont="1" applyFill="1" applyBorder="1" applyAlignment="1" applyProtection="1">
      <alignment horizontal="center" vertical="center" shrinkToFit="1"/>
      <protection hidden="1"/>
    </xf>
    <xf numFmtId="164" fontId="8" fillId="3" borderId="98" xfId="0" applyNumberFormat="1" applyFont="1" applyFill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vertical="center" shrinkToFit="1"/>
      <protection hidden="1"/>
    </xf>
    <xf numFmtId="0" fontId="74" fillId="0" borderId="98" xfId="0" applyFont="1" applyBorder="1" applyAlignment="1" applyProtection="1">
      <alignment horizontal="center" vertical="center" shrinkToFit="1"/>
      <protection hidden="1"/>
    </xf>
    <xf numFmtId="0" fontId="74" fillId="0" borderId="99" xfId="0" applyFont="1" applyBorder="1" applyAlignment="1" applyProtection="1">
      <alignment horizontal="center" vertical="center" shrinkToFit="1"/>
      <protection hidden="1"/>
    </xf>
    <xf numFmtId="0" fontId="74" fillId="0" borderId="64" xfId="0" applyFont="1" applyBorder="1" applyAlignment="1" applyProtection="1">
      <alignment horizontal="center" vertical="center" shrinkToFit="1"/>
      <protection hidden="1"/>
    </xf>
    <xf numFmtId="0" fontId="74" fillId="0" borderId="96" xfId="0" applyFont="1" applyBorder="1" applyAlignment="1" applyProtection="1">
      <alignment horizontal="center" vertical="center" shrinkToFit="1"/>
      <protection hidden="1"/>
    </xf>
    <xf numFmtId="0" fontId="74" fillId="0" borderId="14" xfId="0" applyFont="1" applyBorder="1" applyAlignment="1" applyProtection="1">
      <alignment horizontal="center" vertical="center" shrinkToFit="1"/>
      <protection hidden="1"/>
    </xf>
    <xf numFmtId="0" fontId="75" fillId="6" borderId="100" xfId="0" applyFont="1" applyFill="1" applyBorder="1" applyAlignment="1" applyProtection="1">
      <alignment horizontal="center" vertical="center" shrinkToFit="1"/>
      <protection hidden="1"/>
    </xf>
    <xf numFmtId="0" fontId="3" fillId="0" borderId="1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center" shrinkToFit="1"/>
      <protection hidden="1"/>
    </xf>
    <xf numFmtId="0" fontId="3" fillId="0" borderId="0" xfId="0" applyFont="1" applyAlignment="1" applyProtection="1">
      <alignment horizontal="center" shrinkToFit="1"/>
      <protection hidden="1"/>
    </xf>
    <xf numFmtId="0" fontId="5" fillId="0" borderId="0" xfId="0" applyFont="1" applyAlignment="1" applyProtection="1">
      <alignment horizontal="right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31" fillId="0" borderId="61" xfId="0" applyFont="1" applyBorder="1" applyAlignment="1" applyProtection="1">
      <alignment horizontal="center" vertical="top" shrinkToFit="1"/>
      <protection hidden="1"/>
    </xf>
    <xf numFmtId="0" fontId="39" fillId="0" borderId="13" xfId="0" applyFont="1" applyBorder="1" applyAlignment="1" applyProtection="1">
      <alignment horizontal="center" shrinkToFit="1"/>
      <protection hidden="1"/>
    </xf>
    <xf numFmtId="165" fontId="74" fillId="3" borderId="14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8" fillId="3" borderId="14" xfId="0" applyFont="1" applyFill="1" applyBorder="1" applyAlignment="1" applyProtection="1">
      <alignment horizontal="center" vertical="center" shrinkToFit="1"/>
      <protection hidden="1"/>
    </xf>
    <xf numFmtId="0" fontId="74" fillId="3" borderId="14" xfId="0" applyFont="1" applyFill="1" applyBorder="1" applyAlignment="1" applyProtection="1">
      <alignment horizontal="center" vertical="center" shrinkToFit="1"/>
      <protection hidden="1"/>
    </xf>
    <xf numFmtId="0" fontId="74" fillId="3" borderId="25" xfId="0" applyFont="1" applyFill="1" applyBorder="1" applyAlignment="1" applyProtection="1">
      <alignment horizontal="center" vertical="center" shrinkToFit="1"/>
      <protection hidden="1"/>
    </xf>
    <xf numFmtId="0" fontId="31" fillId="0" borderId="28" xfId="0" applyFont="1" applyBorder="1" applyAlignment="1" applyProtection="1">
      <alignment horizontal="center" vertical="center" shrinkToFit="1"/>
      <protection hidden="1"/>
    </xf>
    <xf numFmtId="0" fontId="72" fillId="0" borderId="15" xfId="0" applyFont="1" applyBorder="1" applyAlignment="1" applyProtection="1">
      <alignment horizontal="right" vertical="center" shrinkToFit="1"/>
      <protection hidden="1"/>
    </xf>
    <xf numFmtId="49" fontId="74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74" fillId="3" borderId="15" xfId="0" applyFont="1" applyFill="1" applyBorder="1" applyAlignment="1" applyProtection="1">
      <alignment horizontal="center" vertical="center" shrinkToFit="1"/>
      <protection hidden="1"/>
    </xf>
    <xf numFmtId="0" fontId="79" fillId="0" borderId="13" xfId="0" applyFont="1" applyBorder="1" applyAlignment="1" applyProtection="1">
      <alignment horizontal="right" vertical="center" wrapText="1" shrinkToFit="1"/>
      <protection hidden="1"/>
    </xf>
    <xf numFmtId="164" fontId="74" fillId="3" borderId="14" xfId="0" applyNumberFormat="1" applyFont="1" applyFill="1" applyBorder="1" applyAlignment="1" applyProtection="1">
      <alignment horizontal="right" shrinkToFit="1"/>
      <protection hidden="1"/>
    </xf>
    <xf numFmtId="164" fontId="74" fillId="3" borderId="97" xfId="0" applyNumberFormat="1" applyFont="1" applyFill="1" applyBorder="1" applyAlignment="1" applyProtection="1">
      <alignment horizontal="right" shrinkToFit="1"/>
      <protection hidden="1"/>
    </xf>
    <xf numFmtId="0" fontId="8" fillId="3" borderId="97" xfId="0" applyFont="1" applyFill="1" applyBorder="1" applyAlignment="1" applyProtection="1">
      <alignment horizontal="center" vertical="center" shrinkToFit="1"/>
      <protection hidden="1"/>
    </xf>
    <xf numFmtId="0" fontId="72" fillId="3" borderId="14" xfId="0" applyFont="1" applyFill="1" applyBorder="1" applyAlignment="1" applyProtection="1">
      <alignment horizontal="right" vertical="center" shrinkToFit="1"/>
      <protection hidden="1"/>
    </xf>
    <xf numFmtId="0" fontId="72" fillId="3" borderId="97" xfId="0" applyFont="1" applyFill="1" applyBorder="1" applyAlignment="1" applyProtection="1">
      <alignment horizontal="right" vertical="center" shrinkToFit="1"/>
      <protection hidden="1"/>
    </xf>
    <xf numFmtId="0" fontId="8" fillId="0" borderId="96" xfId="0" applyFont="1" applyBorder="1" applyAlignment="1" applyProtection="1">
      <alignment horizontal="center" vertical="center" shrinkToFit="1"/>
      <protection hidden="1"/>
    </xf>
    <xf numFmtId="0" fontId="8" fillId="0" borderId="96" xfId="0" applyFont="1" applyBorder="1" applyAlignment="1" applyProtection="1">
      <alignment horizontal="right" vertical="center" shrinkToFit="1"/>
      <protection hidden="1"/>
    </xf>
    <xf numFmtId="0" fontId="8" fillId="0" borderId="14" xfId="0" applyFont="1" applyBorder="1" applyAlignment="1" applyProtection="1">
      <alignment horizontal="right" vertical="center" shrinkToFit="1"/>
      <protection hidden="1"/>
    </xf>
    <xf numFmtId="0" fontId="0" fillId="24" borderId="0" xfId="0" applyFill="1" applyAlignment="1" applyProtection="1">
      <alignment horizontal="center" vertical="center" wrapText="1"/>
      <protection hidden="1"/>
    </xf>
    <xf numFmtId="0" fontId="0" fillId="24" borderId="120" xfId="0" applyFill="1" applyBorder="1" applyAlignment="1" applyProtection="1">
      <alignment horizontal="center" vertical="center" wrapText="1"/>
      <protection hidden="1"/>
    </xf>
    <xf numFmtId="0" fontId="72" fillId="21" borderId="27" xfId="0" applyFont="1" applyFill="1" applyBorder="1" applyAlignment="1" applyProtection="1">
      <alignment horizontal="center" vertical="center" shrinkToFit="1"/>
      <protection hidden="1"/>
    </xf>
    <xf numFmtId="0" fontId="72" fillId="21" borderId="15" xfId="0" applyFont="1" applyFill="1" applyBorder="1" applyAlignment="1" applyProtection="1">
      <alignment horizontal="center" vertical="center" shrinkToFit="1"/>
      <protection hidden="1"/>
    </xf>
    <xf numFmtId="164" fontId="72" fillId="21" borderId="15" xfId="0" applyNumberFormat="1" applyFont="1" applyFill="1" applyBorder="1" applyAlignment="1" applyProtection="1">
      <alignment horizontal="center" vertical="center" shrinkToFit="1"/>
      <protection hidden="1"/>
    </xf>
    <xf numFmtId="0" fontId="75" fillId="6" borderId="27" xfId="0" applyFont="1" applyFill="1" applyBorder="1" applyAlignment="1" applyProtection="1">
      <alignment horizontal="center" shrinkToFit="1"/>
      <protection hidden="1"/>
    </xf>
    <xf numFmtId="0" fontId="75" fillId="6" borderId="15" xfId="0" applyFont="1" applyFill="1" applyBorder="1" applyAlignment="1" applyProtection="1">
      <alignment horizontal="center" shrinkToFit="1"/>
      <protection hidden="1"/>
    </xf>
    <xf numFmtId="0" fontId="75" fillId="6" borderId="98" xfId="0" applyFont="1" applyFill="1" applyBorder="1" applyAlignment="1" applyProtection="1">
      <alignment horizontal="center" shrinkToFit="1"/>
      <protection hidden="1"/>
    </xf>
    <xf numFmtId="0" fontId="75" fillId="6" borderId="64" xfId="0" applyFont="1" applyFill="1" applyBorder="1" applyAlignment="1" applyProtection="1">
      <alignment horizontal="center" vertical="center" shrinkToFit="1"/>
      <protection hidden="1"/>
    </xf>
    <xf numFmtId="0" fontId="75" fillId="6" borderId="0" xfId="0" applyFont="1" applyFill="1" applyAlignment="1" applyProtection="1">
      <alignment horizontal="center" vertical="center" shrinkToFit="1"/>
      <protection hidden="1"/>
    </xf>
    <xf numFmtId="0" fontId="75" fillId="6" borderId="99" xfId="0" applyFont="1" applyFill="1" applyBorder="1" applyAlignment="1" applyProtection="1">
      <alignment horizontal="center" vertical="center" shrinkToFit="1"/>
      <protection hidden="1"/>
    </xf>
    <xf numFmtId="0" fontId="1" fillId="0" borderId="106" xfId="0" applyFont="1" applyBorder="1" applyAlignment="1" applyProtection="1">
      <alignment horizontal="right" vertical="center" shrinkToFit="1"/>
      <protection hidden="1"/>
    </xf>
    <xf numFmtId="0" fontId="1" fillId="0" borderId="14" xfId="0" applyFont="1" applyBorder="1" applyAlignment="1" applyProtection="1">
      <alignment horizontal="right" vertical="center" shrinkToFit="1"/>
      <protection hidden="1"/>
    </xf>
    <xf numFmtId="0" fontId="72" fillId="0" borderId="107" xfId="0" applyFont="1" applyBorder="1" applyAlignment="1" applyProtection="1">
      <alignment horizontal="right" vertical="center" shrinkToFit="1"/>
      <protection hidden="1"/>
    </xf>
    <xf numFmtId="0" fontId="82" fillId="14" borderId="5" xfId="0" applyFont="1" applyFill="1" applyBorder="1" applyAlignment="1" applyProtection="1">
      <alignment horizontal="right" vertical="top" wrapText="1"/>
      <protection hidden="1"/>
    </xf>
    <xf numFmtId="0" fontId="82" fillId="14" borderId="5" xfId="0" applyFont="1" applyFill="1" applyBorder="1" applyAlignment="1" applyProtection="1">
      <alignment horizontal="right" vertical="top"/>
      <protection hidden="1"/>
    </xf>
    <xf numFmtId="0" fontId="82" fillId="14" borderId="0" xfId="0" applyFont="1" applyFill="1" applyAlignment="1" applyProtection="1">
      <alignment horizontal="right" vertical="top"/>
      <protection hidden="1"/>
    </xf>
    <xf numFmtId="0" fontId="31" fillId="2" borderId="29" xfId="0" applyFont="1" applyFill="1" applyBorder="1" applyAlignment="1" applyProtection="1">
      <alignment horizontal="center" vertical="center" shrinkToFit="1"/>
      <protection hidden="1"/>
    </xf>
    <xf numFmtId="0" fontId="31" fillId="2" borderId="16" xfId="0" applyFont="1" applyFill="1" applyBorder="1" applyAlignment="1" applyProtection="1">
      <alignment horizontal="center" vertical="center" shrinkToFit="1"/>
      <protection hidden="1"/>
    </xf>
    <xf numFmtId="0" fontId="31" fillId="2" borderId="30" xfId="0" applyFont="1" applyFill="1" applyBorder="1" applyAlignment="1" applyProtection="1">
      <alignment horizontal="center" vertical="center" shrinkToFit="1"/>
      <protection hidden="1"/>
    </xf>
    <xf numFmtId="0" fontId="72" fillId="0" borderId="14" xfId="0" applyFont="1" applyBorder="1" applyAlignment="1" applyProtection="1">
      <alignment horizontal="right" vertical="center" shrinkToFit="1"/>
      <protection hidden="1"/>
    </xf>
    <xf numFmtId="49" fontId="8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15" xfId="0" applyFont="1" applyFill="1" applyBorder="1" applyAlignment="1" applyProtection="1">
      <alignment horizontal="center" vertical="center" shrinkToFit="1"/>
      <protection hidden="1"/>
    </xf>
    <xf numFmtId="22" fontId="72" fillId="0" borderId="0" xfId="0" applyNumberFormat="1" applyFont="1" applyAlignment="1" applyProtection="1">
      <alignment horizontal="center" vertical="center" shrinkToFit="1" readingOrder="2"/>
      <protection hidden="1"/>
    </xf>
    <xf numFmtId="0" fontId="1" fillId="0" borderId="105" xfId="0" applyFont="1" applyBorder="1" applyAlignment="1" applyProtection="1">
      <alignment horizontal="right" vertical="center" shrinkToFit="1"/>
      <protection hidden="1"/>
    </xf>
    <xf numFmtId="0" fontId="1" fillId="0" borderId="16" xfId="0" applyFont="1" applyBorder="1" applyAlignment="1" applyProtection="1">
      <alignment horizontal="right" vertical="center" shrinkToFit="1"/>
      <protection hidden="1"/>
    </xf>
    <xf numFmtId="0" fontId="73" fillId="3" borderId="16" xfId="1" applyNumberFormat="1" applyFont="1" applyFill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72" fillId="3" borderId="16" xfId="0" applyFont="1" applyFill="1" applyBorder="1" applyAlignment="1" applyProtection="1">
      <alignment horizontal="center" vertical="center" shrinkToFit="1"/>
      <protection hidden="1"/>
    </xf>
    <xf numFmtId="0" fontId="1" fillId="3" borderId="16" xfId="0" applyFont="1" applyFill="1" applyBorder="1" applyAlignment="1" applyProtection="1">
      <alignment horizontal="center" vertical="center" shrinkToFit="1"/>
      <protection hidden="1"/>
    </xf>
    <xf numFmtId="0" fontId="8" fillId="3" borderId="108" xfId="0" applyFont="1" applyFill="1" applyBorder="1" applyAlignment="1" applyProtection="1">
      <alignment horizontal="center" vertical="center" shrinkToFit="1"/>
      <protection hidden="1"/>
    </xf>
    <xf numFmtId="0" fontId="72" fillId="0" borderId="106" xfId="0" applyFont="1" applyBorder="1" applyAlignment="1" applyProtection="1">
      <alignment horizontal="right" vertical="center" shrinkToFit="1"/>
      <protection hidden="1"/>
    </xf>
    <xf numFmtId="0" fontId="1" fillId="3" borderId="95" xfId="0" applyFont="1" applyFill="1" applyBorder="1" applyAlignment="1" applyProtection="1">
      <alignment horizontal="center" vertical="center" shrinkToFit="1"/>
      <protection hidden="1"/>
    </xf>
    <xf numFmtId="0" fontId="1" fillId="3" borderId="14" xfId="0" applyFont="1" applyFill="1" applyBorder="1" applyAlignment="1" applyProtection="1">
      <alignment horizontal="center" vertical="center" shrinkToFit="1"/>
      <protection hidden="1"/>
    </xf>
    <xf numFmtId="0" fontId="8" fillId="0" borderId="25" xfId="0" applyFont="1" applyBorder="1" applyAlignment="1" applyProtection="1">
      <alignment horizontal="center" vertical="center" shrinkToFit="1"/>
      <protection hidden="1"/>
    </xf>
    <xf numFmtId="0" fontId="72" fillId="0" borderId="9" xfId="0" applyFont="1" applyBorder="1" applyAlignment="1" applyProtection="1">
      <alignment horizontal="center" vertical="center" shrinkToFit="1" readingOrder="2"/>
      <protection hidden="1"/>
    </xf>
    <xf numFmtId="0" fontId="72" fillId="3" borderId="14" xfId="0" applyFont="1" applyFill="1" applyBorder="1" applyAlignment="1" applyProtection="1">
      <alignment horizontal="center" vertical="center" shrinkToFit="1"/>
      <protection hidden="1"/>
    </xf>
    <xf numFmtId="0" fontId="74" fillId="0" borderId="25" xfId="0" applyFont="1" applyBorder="1" applyAlignment="1" applyProtection="1">
      <alignment horizontal="center" vertical="center" shrinkToFit="1"/>
      <protection hidden="1"/>
    </xf>
    <xf numFmtId="0" fontId="2" fillId="6" borderId="132" xfId="0" applyFont="1" applyFill="1" applyBorder="1" applyAlignment="1" applyProtection="1">
      <alignment horizontal="center" vertical="center"/>
      <protection hidden="1"/>
    </xf>
    <xf numFmtId="0" fontId="2" fillId="6" borderId="56" xfId="0" applyFont="1" applyFill="1" applyBorder="1" applyAlignment="1" applyProtection="1">
      <alignment horizontal="center" vertical="center"/>
      <protection hidden="1"/>
    </xf>
    <xf numFmtId="0" fontId="2" fillId="6" borderId="16" xfId="0" applyFont="1" applyFill="1" applyBorder="1" applyAlignment="1" applyProtection="1">
      <alignment horizontal="center" vertical="center"/>
      <protection hidden="1"/>
    </xf>
    <xf numFmtId="0" fontId="2" fillId="6" borderId="110" xfId="0" applyFont="1" applyFill="1" applyBorder="1" applyAlignment="1" applyProtection="1">
      <alignment horizontal="center" vertical="center"/>
      <protection hidden="1"/>
    </xf>
    <xf numFmtId="0" fontId="2" fillId="6" borderId="111" xfId="0" applyFont="1" applyFill="1" applyBorder="1" applyAlignment="1" applyProtection="1">
      <alignment horizontal="center" vertical="center"/>
      <protection hidden="1"/>
    </xf>
    <xf numFmtId="0" fontId="76" fillId="22" borderId="117" xfId="0" applyFont="1" applyFill="1" applyBorder="1" applyAlignment="1">
      <alignment horizontal="center" vertical="center"/>
    </xf>
    <xf numFmtId="0" fontId="76" fillId="22" borderId="113" xfId="0" applyFont="1" applyFill="1" applyBorder="1" applyAlignment="1">
      <alignment horizontal="center" vertical="center"/>
    </xf>
    <xf numFmtId="0" fontId="2" fillId="6" borderId="141" xfId="0" applyFont="1" applyFill="1" applyBorder="1" applyAlignment="1" applyProtection="1">
      <alignment horizontal="center" vertical="center"/>
      <protection hidden="1"/>
    </xf>
    <xf numFmtId="0" fontId="65" fillId="22" borderId="22" xfId="0" applyFont="1" applyFill="1" applyBorder="1" applyAlignment="1">
      <alignment horizontal="center" vertical="center" textRotation="90" wrapText="1"/>
    </xf>
    <xf numFmtId="0" fontId="65" fillId="22" borderId="101" xfId="0" applyFont="1" applyFill="1" applyBorder="1" applyAlignment="1">
      <alignment horizontal="center" vertical="center" textRotation="90" wrapText="1"/>
    </xf>
    <xf numFmtId="0" fontId="65" fillId="22" borderId="117" xfId="0" applyFont="1" applyFill="1" applyBorder="1" applyAlignment="1">
      <alignment horizontal="center" vertical="center" textRotation="90" wrapText="1"/>
    </xf>
    <xf numFmtId="0" fontId="65" fillId="22" borderId="113" xfId="0" applyFont="1" applyFill="1" applyBorder="1" applyAlignment="1">
      <alignment horizontal="center" vertical="center" textRotation="90" wrapText="1"/>
    </xf>
    <xf numFmtId="0" fontId="76" fillId="22" borderId="116" xfId="0" applyFont="1" applyFill="1" applyBorder="1" applyAlignment="1">
      <alignment horizontal="center" vertical="center"/>
    </xf>
    <xf numFmtId="0" fontId="76" fillId="22" borderId="112" xfId="0" applyFont="1" applyFill="1" applyBorder="1" applyAlignment="1">
      <alignment horizontal="center" vertical="center"/>
    </xf>
    <xf numFmtId="0" fontId="76" fillId="22" borderId="22" xfId="0" applyFont="1" applyFill="1" applyBorder="1" applyAlignment="1">
      <alignment horizontal="center" vertical="center"/>
    </xf>
    <xf numFmtId="0" fontId="76" fillId="22" borderId="101" xfId="0" applyFont="1" applyFill="1" applyBorder="1" applyAlignment="1">
      <alignment horizontal="center" vertical="center"/>
    </xf>
    <xf numFmtId="0" fontId="65" fillId="22" borderId="24" xfId="0" applyFont="1" applyFill="1" applyBorder="1" applyAlignment="1">
      <alignment horizontal="center" vertical="center"/>
    </xf>
    <xf numFmtId="0" fontId="41" fillId="22" borderId="24" xfId="0" applyFont="1" applyFill="1" applyBorder="1" applyAlignment="1">
      <alignment horizontal="center" vertical="center"/>
    </xf>
    <xf numFmtId="0" fontId="65" fillId="22" borderId="116" xfId="0" applyFont="1" applyFill="1" applyBorder="1" applyAlignment="1">
      <alignment horizontal="center" vertical="center" textRotation="90"/>
    </xf>
    <xf numFmtId="0" fontId="65" fillId="22" borderId="112" xfId="0" applyFont="1" applyFill="1" applyBorder="1" applyAlignment="1">
      <alignment horizontal="center" vertical="center" textRotation="90"/>
    </xf>
    <xf numFmtId="0" fontId="41" fillId="22" borderId="117" xfId="0" applyFont="1" applyFill="1" applyBorder="1" applyAlignment="1">
      <alignment horizontal="center" vertical="center" wrapText="1"/>
    </xf>
    <xf numFmtId="0" fontId="41" fillId="22" borderId="113" xfId="0" applyFont="1" applyFill="1" applyBorder="1" applyAlignment="1">
      <alignment horizontal="center" vertical="center" wrapText="1"/>
    </xf>
    <xf numFmtId="0" fontId="41" fillId="22" borderId="117" xfId="0" applyFont="1" applyFill="1" applyBorder="1" applyAlignment="1" applyProtection="1">
      <alignment horizontal="center" vertical="center" wrapText="1"/>
      <protection hidden="1"/>
    </xf>
    <xf numFmtId="0" fontId="41" fillId="22" borderId="113" xfId="0" applyFont="1" applyFill="1" applyBorder="1" applyAlignment="1" applyProtection="1">
      <alignment horizontal="center" vertical="center" wrapText="1"/>
      <protection hidden="1"/>
    </xf>
    <xf numFmtId="0" fontId="41" fillId="22" borderId="114" xfId="0" applyFont="1" applyFill="1" applyBorder="1" applyAlignment="1" applyProtection="1">
      <alignment horizontal="center" vertical="center" wrapText="1"/>
      <protection hidden="1"/>
    </xf>
    <xf numFmtId="0" fontId="65" fillId="22" borderId="24" xfId="0" applyFont="1" applyFill="1" applyBorder="1" applyAlignment="1">
      <alignment horizontal="center" vertical="center" wrapText="1"/>
    </xf>
    <xf numFmtId="0" fontId="92" fillId="3" borderId="130" xfId="0" applyFont="1" applyFill="1" applyBorder="1" applyAlignment="1" applyProtection="1">
      <alignment horizontal="center" vertical="center" textRotation="90" wrapText="1"/>
      <protection hidden="1"/>
    </xf>
    <xf numFmtId="0" fontId="92" fillId="3" borderId="112" xfId="0" applyFont="1" applyFill="1" applyBorder="1" applyAlignment="1" applyProtection="1">
      <alignment horizontal="center" vertical="center" textRotation="90" wrapText="1"/>
      <protection hidden="1"/>
    </xf>
    <xf numFmtId="0" fontId="92" fillId="3" borderId="101" xfId="0" applyFont="1" applyFill="1" applyBorder="1" applyAlignment="1" applyProtection="1">
      <alignment horizontal="center" vertical="center" textRotation="90" wrapText="1"/>
      <protection hidden="1"/>
    </xf>
    <xf numFmtId="0" fontId="41" fillId="22" borderId="116" xfId="0" applyFont="1" applyFill="1" applyBorder="1" applyAlignment="1">
      <alignment horizontal="center" vertical="center" wrapText="1"/>
    </xf>
    <xf numFmtId="0" fontId="41" fillId="22" borderId="112" xfId="0" applyFont="1" applyFill="1" applyBorder="1" applyAlignment="1">
      <alignment horizontal="center" vertical="center" wrapText="1"/>
    </xf>
    <xf numFmtId="0" fontId="41" fillId="22" borderId="22" xfId="0" applyFont="1" applyFill="1" applyBorder="1" applyAlignment="1">
      <alignment horizontal="center" vertical="center" wrapText="1"/>
    </xf>
    <xf numFmtId="0" fontId="41" fillId="22" borderId="101" xfId="0" applyFont="1" applyFill="1" applyBorder="1" applyAlignment="1">
      <alignment horizontal="center" vertical="center" wrapText="1"/>
    </xf>
    <xf numFmtId="0" fontId="92" fillId="3" borderId="129" xfId="0" applyFont="1" applyFill="1" applyBorder="1" applyAlignment="1" applyProtection="1">
      <alignment horizontal="center" vertical="center" textRotation="90" wrapText="1"/>
      <protection hidden="1"/>
    </xf>
    <xf numFmtId="0" fontId="92" fillId="3" borderId="131" xfId="0" applyFont="1" applyFill="1" applyBorder="1" applyAlignment="1" applyProtection="1">
      <alignment horizontal="center" vertical="center" textRotation="90" wrapText="1"/>
      <protection hidden="1"/>
    </xf>
    <xf numFmtId="0" fontId="28" fillId="23" borderId="128" xfId="0" applyFont="1" applyFill="1" applyBorder="1" applyAlignment="1" applyProtection="1">
      <alignment horizontal="center" vertical="center"/>
      <protection hidden="1"/>
    </xf>
    <xf numFmtId="0" fontId="28" fillId="23" borderId="138" xfId="0" applyFont="1" applyFill="1" applyBorder="1" applyAlignment="1" applyProtection="1">
      <alignment horizontal="center" vertical="center"/>
      <protection hidden="1"/>
    </xf>
    <xf numFmtId="0" fontId="28" fillId="0" borderId="10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23" borderId="137" xfId="0" applyFont="1" applyFill="1" applyBorder="1" applyAlignment="1" applyProtection="1">
      <alignment horizontal="center" vertical="center"/>
      <protection hidden="1"/>
    </xf>
    <xf numFmtId="0" fontId="28" fillId="23" borderId="127" xfId="0" applyFont="1" applyFill="1" applyBorder="1" applyAlignment="1" applyProtection="1">
      <alignment horizontal="center" vertical="center"/>
      <protection hidden="1"/>
    </xf>
    <xf numFmtId="0" fontId="92" fillId="3" borderId="140" xfId="0" applyFont="1" applyFill="1" applyBorder="1" applyAlignment="1" applyProtection="1">
      <alignment horizontal="center" vertical="center" textRotation="90" wrapText="1"/>
      <protection hidden="1"/>
    </xf>
    <xf numFmtId="0" fontId="28" fillId="0" borderId="109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8" fillId="0" borderId="11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15" xfId="0" applyFont="1" applyBorder="1" applyAlignment="1">
      <alignment horizontal="center" vertical="center"/>
    </xf>
    <xf numFmtId="0" fontId="28" fillId="0" borderId="111" xfId="0" applyFont="1" applyBorder="1" applyAlignment="1" applyProtection="1">
      <alignment horizontal="center" vertical="center"/>
      <protection hidden="1"/>
    </xf>
    <xf numFmtId="0" fontId="28" fillId="0" borderId="115" xfId="0" applyFont="1" applyBorder="1" applyAlignment="1" applyProtection="1">
      <alignment horizontal="center" vertical="center"/>
      <protection hidden="1"/>
    </xf>
    <xf numFmtId="0" fontId="28" fillId="0" borderId="112" xfId="0" applyFont="1" applyBorder="1" applyAlignment="1" applyProtection="1">
      <alignment horizontal="center" vertical="center"/>
      <protection hidden="1"/>
    </xf>
    <xf numFmtId="0" fontId="28" fillId="0" borderId="101" xfId="0" applyFont="1" applyBorder="1" applyAlignment="1" applyProtection="1">
      <alignment horizontal="center" vertical="center"/>
      <protection hidden="1"/>
    </xf>
    <xf numFmtId="0" fontId="28" fillId="0" borderId="114" xfId="0" applyFont="1" applyBorder="1" applyAlignment="1" applyProtection="1">
      <alignment horizontal="center" vertical="center"/>
      <protection hidden="1"/>
    </xf>
    <xf numFmtId="0" fontId="28" fillId="0" borderId="24" xfId="0" applyFont="1" applyBorder="1" applyAlignment="1" applyProtection="1">
      <alignment horizontal="center" vertical="center"/>
      <protection hidden="1"/>
    </xf>
    <xf numFmtId="0" fontId="28" fillId="0" borderId="112" xfId="0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28" fillId="0" borderId="113" xfId="0" applyFont="1" applyBorder="1" applyAlignment="1">
      <alignment horizontal="center" vertical="center"/>
    </xf>
    <xf numFmtId="0" fontId="28" fillId="23" borderId="126" xfId="0" applyFont="1" applyFill="1" applyBorder="1" applyAlignment="1" applyProtection="1">
      <alignment horizontal="center" vertical="center"/>
      <protection hidden="1"/>
    </xf>
    <xf numFmtId="0" fontId="97" fillId="0" borderId="0" xfId="0" applyFont="1" applyAlignment="1">
      <alignment horizontal="center" vertical="center"/>
    </xf>
    <xf numFmtId="0" fontId="40" fillId="4" borderId="50" xfId="0" applyFont="1" applyFill="1" applyBorder="1" applyAlignment="1" applyProtection="1">
      <alignment horizontal="center" vertical="center"/>
      <protection hidden="1"/>
    </xf>
    <xf numFmtId="0" fontId="40" fillId="4" borderId="53" xfId="0" applyFont="1" applyFill="1" applyBorder="1" applyAlignment="1" applyProtection="1">
      <alignment horizontal="center" vertical="center"/>
      <protection hidden="1"/>
    </xf>
    <xf numFmtId="0" fontId="40" fillId="4" borderId="57" xfId="0" applyFont="1" applyFill="1" applyBorder="1" applyAlignment="1" applyProtection="1">
      <alignment horizontal="center" vertical="center"/>
      <protection hidden="1"/>
    </xf>
    <xf numFmtId="0" fontId="40" fillId="4" borderId="58" xfId="0" applyFont="1" applyFill="1" applyBorder="1" applyAlignment="1" applyProtection="1">
      <alignment horizontal="center" vertical="center"/>
      <protection hidden="1"/>
    </xf>
    <xf numFmtId="0" fontId="40" fillId="4" borderId="59" xfId="0" applyFont="1" applyFill="1" applyBorder="1" applyAlignment="1" applyProtection="1">
      <alignment horizontal="center" vertical="center"/>
      <protection hidden="1"/>
    </xf>
    <xf numFmtId="0" fontId="40" fillId="4" borderId="51" xfId="0" applyFont="1" applyFill="1" applyBorder="1" applyAlignment="1" applyProtection="1">
      <alignment horizontal="center" vertical="center"/>
      <protection hidden="1"/>
    </xf>
    <xf numFmtId="0" fontId="40" fillId="4" borderId="54" xfId="0" applyFont="1" applyFill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 textRotation="90"/>
      <protection hidden="1"/>
    </xf>
    <xf numFmtId="0" fontId="26" fillId="0" borderId="101" xfId="0" applyFont="1" applyBorder="1" applyAlignment="1" applyProtection="1">
      <alignment horizontal="center" vertical="center" textRotation="90"/>
      <protection hidden="1"/>
    </xf>
    <xf numFmtId="0" fontId="33" fillId="10" borderId="125" xfId="0" applyFont="1" applyFill="1" applyBorder="1" applyAlignment="1" applyProtection="1">
      <alignment horizontal="center" vertical="center"/>
      <protection hidden="1"/>
    </xf>
    <xf numFmtId="0" fontId="33" fillId="10" borderId="0" xfId="0" applyFont="1" applyFill="1" applyAlignment="1" applyProtection="1">
      <alignment horizontal="center" vertical="center"/>
      <protection hidden="1"/>
    </xf>
    <xf numFmtId="0" fontId="33" fillId="10" borderId="136" xfId="0" applyFont="1" applyFill="1" applyBorder="1" applyAlignment="1" applyProtection="1">
      <alignment horizontal="center" vertical="center"/>
      <protection hidden="1"/>
    </xf>
    <xf numFmtId="0" fontId="40" fillId="4" borderId="52" xfId="0" applyFont="1" applyFill="1" applyBorder="1" applyAlignment="1" applyProtection="1">
      <alignment horizontal="center" vertical="center"/>
      <protection hidden="1"/>
    </xf>
    <xf numFmtId="0" fontId="40" fillId="4" borderId="55" xfId="0" applyFont="1" applyFill="1" applyBorder="1" applyAlignment="1" applyProtection="1">
      <alignment horizontal="center" vertical="center"/>
      <protection hidden="1"/>
    </xf>
    <xf numFmtId="0" fontId="33" fillId="15" borderId="0" xfId="0" applyFont="1" applyFill="1" applyAlignment="1" applyProtection="1">
      <alignment horizontal="center" vertical="center"/>
      <protection hidden="1"/>
    </xf>
    <xf numFmtId="0" fontId="33" fillId="15" borderId="37" xfId="0" applyFont="1" applyFill="1" applyBorder="1" applyAlignment="1" applyProtection="1">
      <alignment horizontal="center" vertical="center"/>
      <protection hidden="1"/>
    </xf>
    <xf numFmtId="0" fontId="28" fillId="16" borderId="41" xfId="0" applyFont="1" applyFill="1" applyBorder="1" applyAlignment="1" applyProtection="1">
      <alignment horizontal="center" vertical="center"/>
      <protection hidden="1"/>
    </xf>
    <xf numFmtId="0" fontId="28" fillId="16" borderId="45" xfId="0" applyFont="1" applyFill="1" applyBorder="1" applyAlignment="1" applyProtection="1">
      <alignment horizontal="center" vertical="center"/>
      <protection hidden="1"/>
    </xf>
    <xf numFmtId="0" fontId="28" fillId="16" borderId="46" xfId="0" applyFont="1" applyFill="1" applyBorder="1" applyAlignment="1" applyProtection="1">
      <alignment horizontal="center" vertical="center"/>
      <protection hidden="1"/>
    </xf>
    <xf numFmtId="0" fontId="28" fillId="16" borderId="47" xfId="0" applyFont="1" applyFill="1" applyBorder="1" applyAlignment="1" applyProtection="1">
      <alignment horizontal="center" vertical="center"/>
      <protection hidden="1"/>
    </xf>
    <xf numFmtId="0" fontId="28" fillId="23" borderId="125" xfId="0" applyFont="1" applyFill="1" applyBorder="1" applyAlignment="1" applyProtection="1">
      <alignment horizontal="center" vertical="center"/>
      <protection hidden="1"/>
    </xf>
    <xf numFmtId="0" fontId="28" fillId="23" borderId="0" xfId="0" applyFont="1" applyFill="1" applyAlignment="1" applyProtection="1">
      <alignment horizontal="center" vertical="center"/>
      <protection hidden="1"/>
    </xf>
    <xf numFmtId="0" fontId="28" fillId="23" borderId="139" xfId="0" applyFont="1" applyFill="1" applyBorder="1" applyAlignment="1" applyProtection="1">
      <alignment horizontal="center" vertical="center"/>
      <protection hidden="1"/>
    </xf>
    <xf numFmtId="0" fontId="28" fillId="23" borderId="102" xfId="0" applyFont="1" applyFill="1" applyBorder="1" applyAlignment="1" applyProtection="1">
      <alignment horizontal="center" vertical="center"/>
      <protection hidden="1"/>
    </xf>
    <xf numFmtId="0" fontId="28" fillId="23" borderId="136" xfId="0" applyFont="1" applyFill="1" applyBorder="1" applyAlignment="1" applyProtection="1">
      <alignment horizontal="center" vertical="center"/>
      <protection hidden="1"/>
    </xf>
  </cellXfs>
  <cellStyles count="7">
    <cellStyle name="Normal 2" xfId="2" xr:uid="{00000000-0005-0000-0000-000002000000}"/>
    <cellStyle name="Normal 2 2" xfId="3" xr:uid="{00000000-0005-0000-0000-000003000000}"/>
    <cellStyle name="Normal 2 2 2" xfId="5" xr:uid="{00000000-0005-0000-0000-000004000000}"/>
    <cellStyle name="Normal_ورقة4" xfId="6" xr:uid="{00000000-0005-0000-0000-000005000000}"/>
    <cellStyle name="ارتباط تشعبي" xfId="1" builtinId="8"/>
    <cellStyle name="عادي" xfId="0" builtinId="0"/>
    <cellStyle name="عادي 2" xfId="4" xr:uid="{00000000-0005-0000-0000-000006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1043940</xdr:colOff>
      <xdr:row>0</xdr:row>
      <xdr:rowOff>60960</xdr:rowOff>
    </xdr:from>
    <xdr:to>
      <xdr:col>1</xdr:col>
      <xdr:colOff>1615440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45005BA2-BD50-466A-A9A0-E3B6CA786634}"/>
            </a:ext>
          </a:extLst>
        </xdr:cNvPr>
        <xdr:cNvSpPr/>
      </xdr:nvSpPr>
      <xdr:spPr>
        <a:xfrm>
          <a:off x="1122506772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1043940</xdr:colOff>
      <xdr:row>1</xdr:row>
      <xdr:rowOff>60960</xdr:rowOff>
    </xdr:from>
    <xdr:to>
      <xdr:col>1</xdr:col>
      <xdr:colOff>1615440</xdr:colOff>
      <xdr:row>1</xdr:row>
      <xdr:rowOff>320040</xdr:rowOff>
    </xdr:to>
    <xdr:sp macro="" textlink="">
      <xdr:nvSpPr>
        <xdr:cNvPr id="3" name="سهم: لليسار 2">
          <a:extLst>
            <a:ext uri="{FF2B5EF4-FFF2-40B4-BE49-F238E27FC236}">
              <a16:creationId xmlns:a16="http://schemas.microsoft.com/office/drawing/2014/main" id="{494CBBD6-49EC-4B5D-B456-AF3DF0215822}"/>
            </a:ext>
          </a:extLst>
        </xdr:cNvPr>
        <xdr:cNvSpPr/>
      </xdr:nvSpPr>
      <xdr:spPr>
        <a:xfrm>
          <a:off x="1122506772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7</xdr:row>
      <xdr:rowOff>38100</xdr:rowOff>
    </xdr:from>
    <xdr:to>
      <xdr:col>33</xdr:col>
      <xdr:colOff>19050</xdr:colOff>
      <xdr:row>10</xdr:row>
      <xdr:rowOff>97239</xdr:rowOff>
    </xdr:to>
    <xdr:pic>
      <xdr:nvPicPr>
        <xdr:cNvPr id="1030" name="صورة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78650" y="1428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23115</xdr:colOff>
      <xdr:row>7</xdr:row>
      <xdr:rowOff>38879</xdr:rowOff>
    </xdr:from>
    <xdr:to>
      <xdr:col>33</xdr:col>
      <xdr:colOff>23115</xdr:colOff>
      <xdr:row>10</xdr:row>
      <xdr:rowOff>92768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591454"/>
          <a:ext cx="0" cy="804375"/>
        </a:xfrm>
        <a:prstGeom prst="rect">
          <a:avLst/>
        </a:prstGeom>
      </xdr:spPr>
    </xdr:pic>
    <xdr:clientData/>
  </xdr:twoCellAnchor>
  <xdr:oneCellAnchor>
    <xdr:from>
      <xdr:col>33</xdr:col>
      <xdr:colOff>23115</xdr:colOff>
      <xdr:row>8</xdr:row>
      <xdr:rowOff>38879</xdr:rowOff>
    </xdr:from>
    <xdr:ext cx="0" cy="804375"/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886729"/>
          <a:ext cx="0" cy="80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16373</xdr:col>
      <xdr:colOff>199073</xdr:colOff>
      <xdr:row>41</xdr:row>
      <xdr:rowOff>99060</xdr:rowOff>
    </xdr:from>
    <xdr:to>
      <xdr:col>16374</xdr:col>
      <xdr:colOff>608647</xdr:colOff>
      <xdr:row>44</xdr:row>
      <xdr:rowOff>53390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FC9300A-663E-4633-B112-2D235E798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294620"/>
          <a:ext cx="6590347" cy="563930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39</xdr:row>
      <xdr:rowOff>167640</xdr:rowOff>
    </xdr:from>
    <xdr:to>
      <xdr:col>17</xdr:col>
      <xdr:colOff>103822</xdr:colOff>
      <xdr:row>41</xdr:row>
      <xdr:rowOff>182930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C40D8D7-61B2-42C8-BE37-5A7844042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3031293" y="9448800"/>
          <a:ext cx="6590347" cy="579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605;&#1588;&#1585;&#1608;&#1593;&#1575;&#1578;%20&#1571;&#1608;&#1604;&#1609;%20&#1606;&#1607;&#1575;&#1574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75;&#1604;&#1605;&#1602;&#1585;&#1585;&#1575;&#157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تعليمات"/>
      <sheetName val="إدخال البيانات"/>
      <sheetName val="إختيار المقررات"/>
      <sheetName val="الإستمارة"/>
      <sheetName val="مشروعات-21-22-ف2"/>
      <sheetName val="ورقة4"/>
      <sheetName val="ورقة2"/>
    </sheetNames>
    <sheetDataSet>
      <sheetData sheetId="0"/>
      <sheetData sheetId="1"/>
      <sheetData sheetId="2">
        <row r="6">
          <cell r="BN6" t="str">
            <v>أساسيات الإدارة</v>
          </cell>
        </row>
        <row r="7">
          <cell r="BN7" t="str">
            <v xml:space="preserve">مبادئ التمويل والاستثمار </v>
          </cell>
        </row>
        <row r="8">
          <cell r="BN8" t="str">
            <v>التحليل الجزئي</v>
          </cell>
        </row>
        <row r="9">
          <cell r="BN9" t="str">
            <v>مبادئ الاحصاء</v>
          </cell>
        </row>
        <row r="10">
          <cell r="BN10" t="str">
            <v xml:space="preserve">المحاسبة المالية </v>
          </cell>
        </row>
        <row r="11">
          <cell r="BN11" t="str">
            <v>لغة أعمال 1</v>
          </cell>
        </row>
        <row r="13">
          <cell r="BN13" t="str">
            <v xml:space="preserve">اساسيات التسويق في المشروعات الصغيرة </v>
          </cell>
        </row>
        <row r="14">
          <cell r="BN14" t="str">
            <v xml:space="preserve">رياضيات ادارية ومالية </v>
          </cell>
        </row>
        <row r="15">
          <cell r="BN15" t="str">
            <v>المحاسبة المتوسطة</v>
          </cell>
        </row>
        <row r="16">
          <cell r="BN16" t="str">
            <v xml:space="preserve">الاشكال القانونية للمشروعات وأسس احداثها </v>
          </cell>
        </row>
        <row r="17">
          <cell r="BN17" t="str">
            <v>مهارات حاسوب 1</v>
          </cell>
        </row>
        <row r="18">
          <cell r="BN18" t="str">
            <v>لغة اعمال 2</v>
          </cell>
        </row>
        <row r="20">
          <cell r="BN20" t="str">
            <v xml:space="preserve">ادارة التفاوض باللغة الاجنبية </v>
          </cell>
        </row>
        <row r="21">
          <cell r="BN21" t="str">
            <v>التحليل الكلي</v>
          </cell>
        </row>
        <row r="22">
          <cell r="BN22" t="str">
            <v xml:space="preserve">الاساليب الكمية في الادارة </v>
          </cell>
        </row>
        <row r="23">
          <cell r="BN23" t="str">
            <v>محاسبة شركات الاشخاص</v>
          </cell>
        </row>
        <row r="24">
          <cell r="BN24" t="str">
            <v xml:space="preserve">الملية العامة والتشريع الضريبي </v>
          </cell>
        </row>
        <row r="25">
          <cell r="BN25" t="str">
            <v>مهارات حاسوب  2</v>
          </cell>
        </row>
        <row r="27">
          <cell r="BN27" t="str">
            <v xml:space="preserve">ادارة الانتاج والعمليات </v>
          </cell>
        </row>
        <row r="28">
          <cell r="BN28" t="str">
            <v xml:space="preserve">الادارة المالية </v>
          </cell>
        </row>
        <row r="29">
          <cell r="BN29" t="str">
            <v xml:space="preserve">محاسبة تكاليف وادارية </v>
          </cell>
        </row>
        <row r="30">
          <cell r="BN30" t="str">
            <v>الاتصالات التسويقية</v>
          </cell>
        </row>
        <row r="31">
          <cell r="BN31" t="str">
            <v xml:space="preserve">البيئة القانونية للاستثمار والعمل </v>
          </cell>
        </row>
        <row r="32">
          <cell r="BN32" t="str">
            <v xml:space="preserve">مراسلات ادارية باللغة الاجنبية </v>
          </cell>
        </row>
        <row r="34">
          <cell r="BN34" t="str">
            <v xml:space="preserve">ادارة المشروعات الصغيرة </v>
          </cell>
        </row>
        <row r="35">
          <cell r="BN35" t="str">
            <v xml:space="preserve">الاتصالات الادارية </v>
          </cell>
        </row>
        <row r="36">
          <cell r="BN36" t="str">
            <v xml:space="preserve">المحاسبة المالية المتخصصة </v>
          </cell>
        </row>
        <row r="37">
          <cell r="BN37" t="str">
            <v xml:space="preserve">ادارة الموارد البشرية </v>
          </cell>
        </row>
        <row r="38">
          <cell r="BN38" t="str">
            <v>القانون التجاري</v>
          </cell>
        </row>
        <row r="39">
          <cell r="BN39" t="str">
            <v xml:space="preserve">معلوماتية </v>
          </cell>
        </row>
        <row r="41">
          <cell r="BN41" t="str">
            <v xml:space="preserve">ادارة العلاقات العامة </v>
          </cell>
        </row>
        <row r="42">
          <cell r="BN42" t="str">
            <v>تطبيقات احصائية في الادارة</v>
          </cell>
        </row>
        <row r="43">
          <cell r="BN43" t="str">
            <v xml:space="preserve">سياسات التسعير والتوزيع </v>
          </cell>
        </row>
        <row r="44">
          <cell r="BN44" t="str">
            <v>نظم المعلومات الادارية</v>
          </cell>
        </row>
        <row r="45">
          <cell r="BN45" t="str">
            <v xml:space="preserve">دراسات ادارية بلغة اجنبية </v>
          </cell>
        </row>
        <row r="46">
          <cell r="BN46" t="str">
            <v>نظرية المنظمة والتطوير التنظيمي</v>
          </cell>
        </row>
        <row r="48">
          <cell r="BN48" t="str">
            <v xml:space="preserve">ادارة الامداد في المشروعات الصغيرة </v>
          </cell>
        </row>
        <row r="49">
          <cell r="BN49" t="str">
            <v xml:space="preserve">ادارة الوقت </v>
          </cell>
        </row>
        <row r="50">
          <cell r="BN50" t="str">
            <v xml:space="preserve">ادارة الجدوى وتقييم المشروعات </v>
          </cell>
        </row>
        <row r="51">
          <cell r="BN51" t="str">
            <v xml:space="preserve">ادارة الجودة في المشروعات الصغيرة </v>
          </cell>
        </row>
        <row r="52">
          <cell r="BN52" t="str">
            <v xml:space="preserve">الرقابة الادارية </v>
          </cell>
        </row>
        <row r="53">
          <cell r="BN53" t="str">
            <v xml:space="preserve">نظرية القررات الادارية </v>
          </cell>
        </row>
        <row r="55">
          <cell r="BN55" t="str">
            <v xml:space="preserve">المسؤولية الاجتماعية واخلاقيات العمل </v>
          </cell>
        </row>
        <row r="56">
          <cell r="BN56" t="str">
            <v xml:space="preserve">ادارة المخاطر المالية والائتمان </v>
          </cell>
        </row>
        <row r="57">
          <cell r="BN57" t="str">
            <v xml:space="preserve">التجارة الالكترونية بلغة اجنبية </v>
          </cell>
        </row>
        <row r="58">
          <cell r="BN58" t="str">
            <v xml:space="preserve">السلوك التنظيمي </v>
          </cell>
        </row>
        <row r="59">
          <cell r="BN59" t="str">
            <v>استراتيجيات تنمية المشروعات الصغيرة</v>
          </cell>
        </row>
        <row r="60">
          <cell r="BN60" t="str">
            <v xml:space="preserve">ادارة التنافس في المشروعات الصغيرة 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مقررات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Hp/Desktop/&#1575;&#1582;&#1585;%20&#1578;&#1593;&#1583;&#1610;&#1604;%202024%20&#1601;1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../../../GS/AppData/hp-60/Desktop/&#1587;&#1605;&#1575;&#1581;/Lenovo/Lenovo/user/TOSHIBA/AppData/Roaming/Microsoft/My%20Documents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3"/>
  <sheetViews>
    <sheetView rightToLeft="1" tabSelected="1" workbookViewId="0">
      <selection activeCell="B11" sqref="B11:I12"/>
    </sheetView>
  </sheetViews>
  <sheetFormatPr defaultColWidth="9" defaultRowHeight="16.8" x14ac:dyDescent="0.5"/>
  <cols>
    <col min="1" max="1" width="2.3984375" style="62" customWidth="1"/>
    <col min="2" max="2" width="4.5" style="62" customWidth="1"/>
    <col min="3" max="6" width="9" style="62"/>
    <col min="7" max="7" width="1.5" style="62" customWidth="1"/>
    <col min="8" max="8" width="12.5" style="62" customWidth="1"/>
    <col min="9" max="9" width="16.8984375" style="62" customWidth="1"/>
    <col min="10" max="10" width="5" style="62" customWidth="1"/>
    <col min="11" max="11" width="9" style="62"/>
    <col min="12" max="12" width="2.5" style="62" customWidth="1"/>
    <col min="13" max="14" width="9" style="62"/>
    <col min="15" max="15" width="3.5" style="62" customWidth="1"/>
    <col min="16" max="17" width="9" style="62"/>
    <col min="18" max="18" width="4.5" style="62" customWidth="1"/>
    <col min="19" max="19" width="2" style="62" customWidth="1"/>
    <col min="20" max="20" width="8.8984375" style="62" customWidth="1"/>
    <col min="21" max="21" width="15.5" style="62" customWidth="1"/>
    <col min="22" max="16384" width="9" style="62"/>
  </cols>
  <sheetData>
    <row r="1" spans="1:22" ht="27" thickBot="1" x14ac:dyDescent="0.75">
      <c r="B1" s="238" t="s">
        <v>125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ht="19.5" customHeight="1" thickBot="1" x14ac:dyDescent="0.7">
      <c r="B2" s="239" t="s">
        <v>60</v>
      </c>
      <c r="C2" s="239"/>
      <c r="D2" s="239"/>
      <c r="E2" s="239"/>
      <c r="F2" s="239"/>
      <c r="G2" s="239"/>
      <c r="H2" s="239"/>
      <c r="I2" s="239"/>
      <c r="J2" s="63"/>
      <c r="K2" s="240" t="s">
        <v>108</v>
      </c>
      <c r="L2" s="241"/>
      <c r="M2" s="241"/>
      <c r="N2" s="241"/>
      <c r="O2" s="241"/>
      <c r="P2" s="241"/>
      <c r="Q2" s="241"/>
      <c r="R2" s="241"/>
      <c r="S2" s="241"/>
      <c r="T2" s="244" t="s">
        <v>124</v>
      </c>
      <c r="U2" s="245"/>
    </row>
    <row r="3" spans="1:22" ht="22.5" customHeight="1" thickBot="1" x14ac:dyDescent="0.7">
      <c r="A3" s="64">
        <v>1</v>
      </c>
      <c r="B3" s="248" t="s">
        <v>116</v>
      </c>
      <c r="C3" s="249"/>
      <c r="D3" s="249"/>
      <c r="E3" s="249"/>
      <c r="F3" s="249"/>
      <c r="G3" s="249"/>
      <c r="H3" s="249"/>
      <c r="I3" s="250"/>
      <c r="K3" s="242"/>
      <c r="L3" s="243"/>
      <c r="M3" s="243"/>
      <c r="N3" s="243"/>
      <c r="O3" s="243"/>
      <c r="P3" s="243"/>
      <c r="Q3" s="243"/>
      <c r="R3" s="243"/>
      <c r="S3" s="243"/>
      <c r="T3" s="246"/>
      <c r="U3" s="247"/>
    </row>
    <row r="4" spans="1:22" ht="22.5" customHeight="1" thickBot="1" x14ac:dyDescent="0.7">
      <c r="A4" s="64">
        <v>2</v>
      </c>
      <c r="B4" s="230" t="s">
        <v>122</v>
      </c>
      <c r="C4" s="231"/>
      <c r="D4" s="231"/>
      <c r="E4" s="231"/>
      <c r="F4" s="231"/>
      <c r="G4" s="231"/>
      <c r="H4" s="231"/>
      <c r="I4" s="232"/>
      <c r="K4" s="233" t="s">
        <v>15</v>
      </c>
      <c r="L4" s="234"/>
      <c r="M4" s="234"/>
      <c r="N4" s="234"/>
      <c r="O4" s="234"/>
      <c r="P4" s="234"/>
      <c r="Q4" s="234"/>
      <c r="R4" s="234"/>
      <c r="S4" s="235"/>
      <c r="T4" s="236">
        <v>1</v>
      </c>
      <c r="U4" s="237"/>
    </row>
    <row r="5" spans="1:22" ht="22.5" customHeight="1" thickBot="1" x14ac:dyDescent="0.7">
      <c r="A5" s="64"/>
      <c r="B5" s="251" t="s">
        <v>117</v>
      </c>
      <c r="C5" s="252"/>
      <c r="D5" s="252"/>
      <c r="E5" s="252"/>
      <c r="F5" s="252"/>
      <c r="G5" s="252"/>
      <c r="H5" s="252"/>
      <c r="I5" s="67"/>
      <c r="K5" s="253" t="s">
        <v>109</v>
      </c>
      <c r="L5" s="254"/>
      <c r="M5" s="254"/>
      <c r="N5" s="254"/>
      <c r="O5" s="254"/>
      <c r="P5" s="254"/>
      <c r="Q5" s="254"/>
      <c r="R5" s="254"/>
      <c r="S5" s="254"/>
      <c r="T5" s="236">
        <v>1</v>
      </c>
      <c r="U5" s="237"/>
    </row>
    <row r="6" spans="1:22" ht="42.75" customHeight="1" thickBot="1" x14ac:dyDescent="0.7">
      <c r="A6" s="64" t="s">
        <v>118</v>
      </c>
      <c r="B6" s="255" t="s">
        <v>119</v>
      </c>
      <c r="C6" s="256"/>
      <c r="D6" s="256"/>
      <c r="E6" s="256"/>
      <c r="F6" s="256"/>
      <c r="G6" s="256"/>
      <c r="H6" s="256"/>
      <c r="I6" s="257"/>
      <c r="K6" s="258" t="s">
        <v>129</v>
      </c>
      <c r="L6" s="259"/>
      <c r="M6" s="259"/>
      <c r="N6" s="259"/>
      <c r="O6" s="259"/>
      <c r="P6" s="259"/>
      <c r="Q6" s="259"/>
      <c r="R6" s="259"/>
      <c r="S6" s="260"/>
      <c r="T6" s="261" t="s">
        <v>114</v>
      </c>
      <c r="U6" s="262"/>
    </row>
    <row r="7" spans="1:22" ht="22.5" customHeight="1" thickBot="1" x14ac:dyDescent="0.7">
      <c r="A7" s="64">
        <v>2</v>
      </c>
      <c r="B7" s="255" t="s">
        <v>120</v>
      </c>
      <c r="C7" s="256"/>
      <c r="D7" s="256"/>
      <c r="E7" s="256"/>
      <c r="F7" s="256"/>
      <c r="G7" s="256"/>
      <c r="H7" s="256"/>
      <c r="I7" s="257"/>
      <c r="K7" s="263" t="s">
        <v>110</v>
      </c>
      <c r="L7" s="264"/>
      <c r="M7" s="264"/>
      <c r="N7" s="264"/>
      <c r="O7" s="264"/>
      <c r="P7" s="264"/>
      <c r="Q7" s="264"/>
      <c r="R7" s="264"/>
      <c r="S7" s="265"/>
      <c r="T7" s="266">
        <v>0.5</v>
      </c>
      <c r="U7" s="267"/>
      <c r="V7" s="65"/>
    </row>
    <row r="8" spans="1:22" ht="22.5" customHeight="1" thickBot="1" x14ac:dyDescent="0.7">
      <c r="A8" s="64"/>
      <c r="B8" s="255" t="s">
        <v>121</v>
      </c>
      <c r="C8" s="256"/>
      <c r="D8" s="256"/>
      <c r="E8" s="256"/>
      <c r="F8" s="256"/>
      <c r="G8" s="256"/>
      <c r="H8" s="256"/>
      <c r="I8" s="257"/>
      <c r="J8" s="65"/>
      <c r="K8" s="268" t="s">
        <v>111</v>
      </c>
      <c r="L8" s="269"/>
      <c r="M8" s="269"/>
      <c r="N8" s="269"/>
      <c r="O8" s="269"/>
      <c r="P8" s="269"/>
      <c r="Q8" s="269"/>
      <c r="R8" s="269"/>
      <c r="S8" s="269"/>
      <c r="T8" s="270">
        <v>0.2</v>
      </c>
      <c r="U8" s="271"/>
    </row>
    <row r="9" spans="1:22" ht="22.5" customHeight="1" thickBot="1" x14ac:dyDescent="0.7">
      <c r="A9" s="64"/>
      <c r="B9" s="273"/>
      <c r="C9" s="274"/>
      <c r="D9" s="274"/>
      <c r="E9" s="274"/>
      <c r="F9" s="274"/>
      <c r="G9" s="274"/>
      <c r="H9" s="274"/>
      <c r="I9" s="275"/>
      <c r="J9" s="66"/>
      <c r="K9" s="268"/>
      <c r="L9" s="269"/>
      <c r="M9" s="269"/>
      <c r="N9" s="269"/>
      <c r="O9" s="269"/>
      <c r="P9" s="269"/>
      <c r="Q9" s="269"/>
      <c r="R9" s="269"/>
      <c r="S9" s="269"/>
      <c r="T9" s="272"/>
      <c r="U9" s="271"/>
    </row>
    <row r="10" spans="1:22" ht="22.5" customHeight="1" thickBot="1" x14ac:dyDescent="0.75">
      <c r="A10" s="64">
        <v>3</v>
      </c>
      <c r="B10" s="251" t="s">
        <v>62</v>
      </c>
      <c r="C10" s="252"/>
      <c r="D10" s="252"/>
      <c r="E10" s="252"/>
      <c r="F10" s="252"/>
      <c r="G10" s="252"/>
      <c r="H10" s="276" t="s">
        <v>61</v>
      </c>
      <c r="I10" s="277"/>
      <c r="K10" s="233" t="s">
        <v>112</v>
      </c>
      <c r="L10" s="234"/>
      <c r="M10" s="234"/>
      <c r="N10" s="234"/>
      <c r="O10" s="234"/>
      <c r="P10" s="234"/>
      <c r="Q10" s="234"/>
      <c r="R10" s="234"/>
      <c r="S10" s="235"/>
      <c r="T10" s="278">
        <v>0.2</v>
      </c>
      <c r="U10" s="279"/>
    </row>
    <row r="11" spans="1:22" ht="43.5" customHeight="1" x14ac:dyDescent="0.65">
      <c r="A11" s="64">
        <v>4</v>
      </c>
      <c r="B11" s="280" t="s">
        <v>298</v>
      </c>
      <c r="C11" s="281"/>
      <c r="D11" s="281"/>
      <c r="E11" s="281"/>
      <c r="F11" s="281"/>
      <c r="G11" s="281"/>
      <c r="H11" s="281"/>
      <c r="I11" s="282"/>
      <c r="K11" s="286" t="s">
        <v>128</v>
      </c>
      <c r="L11" s="287"/>
      <c r="M11" s="287"/>
      <c r="N11" s="287"/>
      <c r="O11" s="287"/>
      <c r="P11" s="287"/>
      <c r="Q11" s="287"/>
      <c r="R11" s="287"/>
      <c r="S11" s="288"/>
      <c r="T11" s="289" t="s">
        <v>115</v>
      </c>
      <c r="U11" s="290"/>
    </row>
    <row r="12" spans="1:22" ht="22.5" customHeight="1" thickBot="1" x14ac:dyDescent="0.7">
      <c r="A12" s="64"/>
      <c r="B12" s="283"/>
      <c r="C12" s="284"/>
      <c r="D12" s="284"/>
      <c r="E12" s="284"/>
      <c r="F12" s="284"/>
      <c r="G12" s="284"/>
      <c r="H12" s="284"/>
      <c r="I12" s="285"/>
      <c r="K12" s="291" t="s">
        <v>113</v>
      </c>
      <c r="L12" s="292"/>
      <c r="M12" s="292"/>
      <c r="N12" s="292"/>
      <c r="O12" s="292"/>
      <c r="P12" s="292"/>
      <c r="Q12" s="292"/>
      <c r="R12" s="292"/>
      <c r="S12" s="293"/>
      <c r="T12" s="294">
        <v>0.5</v>
      </c>
      <c r="U12" s="295"/>
    </row>
    <row r="13" spans="1:22" ht="22.5" customHeight="1" thickBot="1" x14ac:dyDescent="0.7">
      <c r="A13" s="64">
        <v>5</v>
      </c>
      <c r="B13" s="305" t="s">
        <v>123</v>
      </c>
      <c r="C13" s="306"/>
      <c r="D13" s="306"/>
      <c r="E13" s="306"/>
      <c r="F13" s="306"/>
      <c r="G13" s="306"/>
      <c r="H13" s="306"/>
      <c r="I13" s="307"/>
      <c r="K13" s="308" t="s">
        <v>126</v>
      </c>
      <c r="L13" s="309"/>
      <c r="M13" s="309"/>
      <c r="N13" s="309"/>
      <c r="O13" s="309"/>
      <c r="P13" s="309"/>
      <c r="Q13" s="309"/>
      <c r="R13" s="309"/>
      <c r="S13" s="309"/>
      <c r="T13" s="309"/>
      <c r="U13" s="309"/>
    </row>
    <row r="14" spans="1:22" ht="22.5" customHeight="1" x14ac:dyDescent="0.65">
      <c r="A14" s="64"/>
      <c r="B14" s="310" t="s">
        <v>130</v>
      </c>
      <c r="C14" s="310"/>
      <c r="D14" s="310"/>
      <c r="E14" s="310"/>
      <c r="F14" s="310"/>
      <c r="G14" s="310"/>
      <c r="H14" s="310"/>
      <c r="I14" s="310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</row>
    <row r="15" spans="1:22" ht="3.75" customHeight="1" x14ac:dyDescent="0.65">
      <c r="A15" s="64"/>
      <c r="B15" s="311"/>
      <c r="C15" s="311"/>
      <c r="D15" s="311"/>
      <c r="E15" s="311"/>
      <c r="F15" s="311"/>
      <c r="G15" s="311"/>
      <c r="H15" s="311"/>
      <c r="I15" s="311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</row>
    <row r="16" spans="1:22" ht="26.25" customHeight="1" x14ac:dyDescent="0.65">
      <c r="A16" s="64">
        <v>5</v>
      </c>
      <c r="B16" s="311"/>
      <c r="C16" s="311"/>
      <c r="D16" s="311"/>
      <c r="E16" s="311"/>
      <c r="F16" s="311"/>
      <c r="G16" s="311"/>
      <c r="H16" s="311"/>
      <c r="I16" s="311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</row>
    <row r="17" spans="2:21" ht="19.5" customHeight="1" x14ac:dyDescent="0.5">
      <c r="B17" s="311"/>
      <c r="C17" s="311"/>
      <c r="D17" s="311"/>
      <c r="E17" s="311"/>
      <c r="F17" s="311"/>
      <c r="G17" s="311"/>
      <c r="H17" s="311"/>
      <c r="I17" s="311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</row>
    <row r="18" spans="2:21" ht="19.5" customHeight="1" x14ac:dyDescent="0.65">
      <c r="B18" s="311"/>
      <c r="C18" s="311"/>
      <c r="D18" s="311"/>
      <c r="E18" s="311"/>
      <c r="F18" s="311"/>
      <c r="G18" s="311"/>
      <c r="H18" s="311"/>
      <c r="I18" s="311"/>
      <c r="K18" s="68"/>
      <c r="M18" s="313"/>
      <c r="N18" s="313"/>
      <c r="O18" s="313"/>
      <c r="P18" s="69"/>
      <c r="Q18" s="314"/>
      <c r="R18" s="314"/>
      <c r="S18" s="68"/>
      <c r="T18" s="68"/>
      <c r="U18" s="68"/>
    </row>
    <row r="19" spans="2:21" ht="21.75" customHeight="1" thickBot="1" x14ac:dyDescent="0.55000000000000004">
      <c r="B19" s="312"/>
      <c r="C19" s="312"/>
      <c r="D19" s="312"/>
      <c r="E19" s="312"/>
      <c r="F19" s="312"/>
      <c r="G19" s="312"/>
      <c r="H19" s="312"/>
      <c r="I19" s="312"/>
    </row>
    <row r="20" spans="2:21" ht="3.75" customHeight="1" thickBot="1" x14ac:dyDescent="0.55000000000000004"/>
    <row r="21" spans="2:21" ht="35.25" customHeight="1" x14ac:dyDescent="0.5">
      <c r="B21" s="296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8"/>
    </row>
    <row r="22" spans="2:21" ht="14.25" customHeight="1" x14ac:dyDescent="0.5">
      <c r="B22" s="299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1"/>
    </row>
    <row r="23" spans="2:21" ht="15" customHeight="1" thickBot="1" x14ac:dyDescent="0.55000000000000004">
      <c r="B23" s="302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4"/>
    </row>
  </sheetData>
  <mergeCells count="37">
    <mergeCell ref="B21:U23"/>
    <mergeCell ref="B13:I13"/>
    <mergeCell ref="K13:U14"/>
    <mergeCell ref="B14:I19"/>
    <mergeCell ref="K15:U17"/>
    <mergeCell ref="M18:O18"/>
    <mergeCell ref="Q18:R18"/>
    <mergeCell ref="B10:G10"/>
    <mergeCell ref="H10:I10"/>
    <mergeCell ref="K10:S10"/>
    <mergeCell ref="T10:U10"/>
    <mergeCell ref="B11:I12"/>
    <mergeCell ref="K11:S11"/>
    <mergeCell ref="T11:U11"/>
    <mergeCell ref="K12:S12"/>
    <mergeCell ref="T12:U12"/>
    <mergeCell ref="B7:I7"/>
    <mergeCell ref="K7:S7"/>
    <mergeCell ref="T7:U7"/>
    <mergeCell ref="B8:I8"/>
    <mergeCell ref="K8:S9"/>
    <mergeCell ref="T8:U9"/>
    <mergeCell ref="B9:I9"/>
    <mergeCell ref="B5:H5"/>
    <mergeCell ref="K5:S5"/>
    <mergeCell ref="T5:U5"/>
    <mergeCell ref="B6:I6"/>
    <mergeCell ref="K6:S6"/>
    <mergeCell ref="T6:U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10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10:I10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74"/>
  <sheetViews>
    <sheetView showGridLines="0" rightToLeft="1" workbookViewId="0">
      <selection activeCell="C1" sqref="C1"/>
    </sheetView>
  </sheetViews>
  <sheetFormatPr defaultColWidth="9" defaultRowHeight="13.8" x14ac:dyDescent="0.25"/>
  <cols>
    <col min="1" max="1" width="13.8984375" style="166" bestFit="1" customWidth="1"/>
    <col min="2" max="2" width="22.3984375" style="166" customWidth="1"/>
    <col min="3" max="3" width="23.8984375" style="166" customWidth="1"/>
    <col min="4" max="4" width="26" style="166" customWidth="1"/>
    <col min="5" max="5" width="20.5" style="166" customWidth="1"/>
    <col min="6" max="6" width="20" style="166" customWidth="1"/>
    <col min="7" max="7" width="11.5" style="166" customWidth="1"/>
    <col min="8" max="8" width="60.5" style="166" hidden="1" customWidth="1"/>
    <col min="9" max="9" width="3" style="166" hidden="1" customWidth="1"/>
    <col min="10" max="10" width="13.5" style="166" hidden="1" customWidth="1"/>
    <col min="11" max="11" width="11" style="166" hidden="1" customWidth="1"/>
    <col min="12" max="12" width="3.3984375" style="166" hidden="1" customWidth="1"/>
    <col min="13" max="13" width="8.5" style="166" hidden="1" customWidth="1"/>
    <col min="14" max="14" width="20" style="167" hidden="1" customWidth="1"/>
    <col min="15" max="15" width="3" style="167" hidden="1" customWidth="1"/>
    <col min="16" max="16" width="13.5" style="166" hidden="1" customWidth="1"/>
    <col min="17" max="18" width="9" style="166" hidden="1" customWidth="1"/>
    <col min="19" max="19" width="3" style="166" hidden="1" customWidth="1"/>
    <col min="20" max="20" width="8.5" style="166" hidden="1" customWidth="1"/>
    <col min="21" max="21" width="1.59765625" style="166" hidden="1" customWidth="1"/>
    <col min="22" max="22" width="3.5" style="166" hidden="1" customWidth="1"/>
    <col min="23" max="23" width="3" style="166" hidden="1" customWidth="1"/>
    <col min="24" max="24" width="9.5" style="166" bestFit="1" customWidth="1"/>
    <col min="25" max="26" width="9" style="166" hidden="1" customWidth="1"/>
    <col min="27" max="27" width="3" style="166" bestFit="1" customWidth="1"/>
    <col min="28" max="28" width="5" style="166" bestFit="1" customWidth="1"/>
    <col min="29" max="29" width="0" style="166" hidden="1" customWidth="1"/>
    <col min="30" max="30" width="9" style="220"/>
    <col min="31" max="16384" width="9" style="166"/>
  </cols>
  <sheetData>
    <row r="1" spans="1:30" ht="25.95" customHeight="1" thickBot="1" x14ac:dyDescent="0.35">
      <c r="A1" s="316" t="s">
        <v>149</v>
      </c>
      <c r="B1" s="316"/>
      <c r="C1" s="222"/>
      <c r="D1" s="223"/>
      <c r="E1" s="210" t="s">
        <v>9</v>
      </c>
      <c r="F1" s="211"/>
    </row>
    <row r="2" spans="1:30" ht="23.4" customHeight="1" thickBot="1" x14ac:dyDescent="0.3">
      <c r="A2" s="316" t="s">
        <v>297</v>
      </c>
      <c r="B2" s="316"/>
      <c r="C2" s="224"/>
      <c r="D2" s="215"/>
      <c r="E2" s="210" t="s">
        <v>229</v>
      </c>
      <c r="F2" s="211"/>
      <c r="H2" s="166" t="s">
        <v>225</v>
      </c>
    </row>
    <row r="3" spans="1:30" x14ac:dyDescent="0.25">
      <c r="A3" s="215"/>
      <c r="B3" s="215"/>
      <c r="C3" s="215"/>
      <c r="D3" s="215"/>
      <c r="E3" s="215"/>
      <c r="F3" s="215"/>
      <c r="H3" s="166" t="s">
        <v>131</v>
      </c>
      <c r="J3" s="166" t="s">
        <v>10</v>
      </c>
      <c r="L3" s="315" t="s">
        <v>107</v>
      </c>
      <c r="M3" s="315"/>
      <c r="N3" s="166"/>
      <c r="O3" s="315"/>
      <c r="P3" s="315"/>
      <c r="S3" s="315" t="s">
        <v>150</v>
      </c>
      <c r="T3" s="315"/>
      <c r="U3" s="315" t="s">
        <v>11</v>
      </c>
      <c r="V3" s="315"/>
      <c r="AA3" s="167"/>
    </row>
    <row r="4" spans="1:30" ht="23.25" customHeight="1" x14ac:dyDescent="0.25">
      <c r="A4" s="315" t="s">
        <v>217</v>
      </c>
      <c r="B4" s="315"/>
      <c r="C4" s="315"/>
      <c r="D4" s="315"/>
      <c r="E4" s="315"/>
      <c r="F4" s="315"/>
      <c r="H4" s="166" t="s">
        <v>132</v>
      </c>
      <c r="I4" s="166">
        <v>1</v>
      </c>
      <c r="J4" s="166" t="s">
        <v>152</v>
      </c>
      <c r="L4" s="168" t="s">
        <v>151</v>
      </c>
      <c r="M4" s="166" t="s">
        <v>87</v>
      </c>
      <c r="N4" s="166"/>
      <c r="S4" s="167" t="s">
        <v>151</v>
      </c>
      <c r="T4" s="166" t="s">
        <v>88</v>
      </c>
      <c r="U4" s="166">
        <v>1</v>
      </c>
      <c r="V4" s="166" t="s">
        <v>66</v>
      </c>
      <c r="W4" s="167"/>
      <c r="AA4" s="167"/>
    </row>
    <row r="5" spans="1:30" s="172" customFormat="1" ht="33.75" customHeight="1" x14ac:dyDescent="0.25">
      <c r="A5" s="169" t="s">
        <v>52</v>
      </c>
      <c r="B5" s="170" t="s">
        <v>156</v>
      </c>
      <c r="C5" s="169" t="s">
        <v>84</v>
      </c>
      <c r="D5" s="171" t="s">
        <v>157</v>
      </c>
      <c r="E5" s="171" t="s">
        <v>57</v>
      </c>
      <c r="F5" s="170" t="s">
        <v>56</v>
      </c>
      <c r="G5" s="170" t="s">
        <v>65</v>
      </c>
      <c r="H5" s="172" t="s">
        <v>133</v>
      </c>
      <c r="I5" s="166">
        <v>2</v>
      </c>
      <c r="J5" s="166" t="s">
        <v>154</v>
      </c>
      <c r="L5" s="168" t="s">
        <v>153</v>
      </c>
      <c r="M5" s="166" t="s">
        <v>95</v>
      </c>
      <c r="N5" s="166"/>
      <c r="O5" s="167"/>
      <c r="P5" s="166"/>
      <c r="Q5" s="166"/>
      <c r="R5" s="166"/>
      <c r="S5" s="167" t="s">
        <v>153</v>
      </c>
      <c r="T5" s="166" t="s">
        <v>90</v>
      </c>
      <c r="U5" s="166">
        <v>2</v>
      </c>
      <c r="V5" s="166" t="s">
        <v>67</v>
      </c>
      <c r="W5" s="167"/>
      <c r="X5" s="166"/>
      <c r="Y5" s="166"/>
      <c r="AA5" s="167"/>
      <c r="AB5" s="166"/>
      <c r="AD5" s="221"/>
    </row>
    <row r="6" spans="1:30" ht="34.200000000000003" customHeight="1" thickBot="1" x14ac:dyDescent="0.3">
      <c r="A6" s="225"/>
      <c r="B6" s="226"/>
      <c r="C6" s="226"/>
      <c r="D6" s="225"/>
      <c r="E6" s="225"/>
      <c r="F6" s="226"/>
      <c r="G6" s="227"/>
      <c r="H6" s="166" t="s">
        <v>134</v>
      </c>
      <c r="I6" s="166">
        <v>3</v>
      </c>
      <c r="J6" s="166" t="s">
        <v>200</v>
      </c>
      <c r="L6" s="168" t="s">
        <v>155</v>
      </c>
      <c r="M6" s="166" t="s">
        <v>89</v>
      </c>
      <c r="N6" s="166"/>
      <c r="S6" s="167" t="s">
        <v>158</v>
      </c>
      <c r="T6" s="166" t="s">
        <v>127</v>
      </c>
      <c r="W6" s="167"/>
      <c r="AA6" s="167"/>
    </row>
    <row r="7" spans="1:30" ht="33.75" customHeight="1" thickTop="1" x14ac:dyDescent="0.25">
      <c r="A7" s="173" t="s">
        <v>49</v>
      </c>
      <c r="B7" s="169" t="s">
        <v>50</v>
      </c>
      <c r="C7" s="181" t="s">
        <v>91</v>
      </c>
      <c r="D7" s="181" t="s">
        <v>92</v>
      </c>
      <c r="E7" s="181" t="s">
        <v>93</v>
      </c>
      <c r="F7" s="181" t="s">
        <v>94</v>
      </c>
      <c r="H7" s="166" t="s">
        <v>135</v>
      </c>
      <c r="I7" s="166">
        <v>4</v>
      </c>
      <c r="J7" s="166" t="s">
        <v>160</v>
      </c>
      <c r="L7" s="168" t="s">
        <v>159</v>
      </c>
      <c r="M7" s="166" t="s">
        <v>96</v>
      </c>
      <c r="N7" s="166"/>
      <c r="S7" s="167"/>
      <c r="T7" s="166" t="s">
        <v>199</v>
      </c>
      <c r="W7" s="167"/>
      <c r="AA7" s="167"/>
      <c r="AD7" s="220" t="s">
        <v>248</v>
      </c>
    </row>
    <row r="8" spans="1:30" ht="23.25" hidden="1" customHeight="1" x14ac:dyDescent="0.25">
      <c r="A8" s="174" t="s">
        <v>239</v>
      </c>
      <c r="B8" s="174" t="s">
        <v>240</v>
      </c>
      <c r="C8" s="182" t="s">
        <v>241</v>
      </c>
      <c r="D8" s="182" t="s">
        <v>242</v>
      </c>
      <c r="E8" s="182" t="s">
        <v>243</v>
      </c>
      <c r="F8" s="183" t="s">
        <v>241</v>
      </c>
      <c r="G8" s="172"/>
      <c r="H8" s="166" t="s">
        <v>136</v>
      </c>
      <c r="I8" s="166">
        <v>5</v>
      </c>
      <c r="J8" s="166" t="s">
        <v>162</v>
      </c>
      <c r="L8" s="168" t="s">
        <v>161</v>
      </c>
      <c r="M8" s="166" t="s">
        <v>97</v>
      </c>
      <c r="N8" s="166"/>
      <c r="S8" s="167"/>
      <c r="W8" s="167"/>
      <c r="AA8" s="167"/>
      <c r="AD8" s="220" t="s">
        <v>249</v>
      </c>
    </row>
    <row r="9" spans="1:30" ht="33.75" customHeight="1" thickBot="1" x14ac:dyDescent="0.3">
      <c r="A9" s="228"/>
      <c r="B9" s="182"/>
      <c r="C9" s="226"/>
      <c r="D9" s="226"/>
      <c r="E9" s="226"/>
      <c r="F9" s="227"/>
      <c r="H9" s="179"/>
      <c r="I9" s="166">
        <v>6</v>
      </c>
      <c r="J9" s="166" t="s">
        <v>163</v>
      </c>
      <c r="L9" s="168" t="s">
        <v>158</v>
      </c>
      <c r="M9" s="166" t="s">
        <v>98</v>
      </c>
      <c r="N9" s="166"/>
      <c r="W9" s="167"/>
      <c r="AA9" s="167"/>
    </row>
    <row r="10" spans="1:30" ht="23.25" customHeight="1" thickTop="1" x14ac:dyDescent="0.25">
      <c r="A10" s="169" t="s">
        <v>51</v>
      </c>
      <c r="B10" s="169" t="s">
        <v>6</v>
      </c>
      <c r="C10" s="169" t="s">
        <v>10</v>
      </c>
      <c r="D10" s="175" t="s">
        <v>11</v>
      </c>
      <c r="E10" s="169" t="s">
        <v>53</v>
      </c>
      <c r="F10" s="169" t="s">
        <v>54</v>
      </c>
      <c r="G10" s="169" t="s">
        <v>55</v>
      </c>
      <c r="I10" s="166">
        <v>7</v>
      </c>
      <c r="J10" s="166" t="s">
        <v>165</v>
      </c>
      <c r="L10" s="168" t="s">
        <v>164</v>
      </c>
      <c r="M10" s="166" t="s">
        <v>100</v>
      </c>
      <c r="N10" s="166"/>
      <c r="W10" s="167"/>
      <c r="AA10" s="167"/>
    </row>
    <row r="11" spans="1:30" ht="33.75" hidden="1" customHeight="1" x14ac:dyDescent="0.25">
      <c r="A11" s="176">
        <v>36557</v>
      </c>
      <c r="B11" s="176" t="s">
        <v>244</v>
      </c>
      <c r="C11" s="174" t="s">
        <v>245</v>
      </c>
      <c r="D11" s="162" t="s">
        <v>66</v>
      </c>
      <c r="E11" s="162" t="s">
        <v>88</v>
      </c>
      <c r="F11" s="174">
        <v>2011</v>
      </c>
      <c r="G11" s="162" t="s">
        <v>95</v>
      </c>
      <c r="I11" s="166">
        <v>8</v>
      </c>
      <c r="J11" s="166" t="s">
        <v>167</v>
      </c>
      <c r="L11" s="168" t="s">
        <v>166</v>
      </c>
      <c r="M11" s="166" t="s">
        <v>104</v>
      </c>
      <c r="N11" s="166"/>
      <c r="W11" s="167"/>
      <c r="AA11" s="167"/>
    </row>
    <row r="12" spans="1:30" ht="34.200000000000003" customHeight="1" x14ac:dyDescent="0.25">
      <c r="A12" s="229"/>
      <c r="B12" s="182"/>
      <c r="C12" s="182"/>
      <c r="D12" s="183"/>
      <c r="E12" s="228"/>
      <c r="F12" s="182"/>
      <c r="G12" s="183"/>
      <c r="I12" s="166">
        <v>9</v>
      </c>
      <c r="J12" s="166" t="s">
        <v>201</v>
      </c>
      <c r="L12" s="168" t="s">
        <v>168</v>
      </c>
      <c r="M12" s="166" t="s">
        <v>105</v>
      </c>
      <c r="N12" s="166"/>
      <c r="O12" s="166"/>
      <c r="AA12" s="167"/>
    </row>
    <row r="13" spans="1:30" ht="33.75" customHeight="1" x14ac:dyDescent="0.25">
      <c r="A13" s="177"/>
      <c r="B13" s="177"/>
      <c r="I13" s="166">
        <v>10</v>
      </c>
      <c r="J13" s="166" t="s">
        <v>202</v>
      </c>
      <c r="L13" s="168" t="s">
        <v>169</v>
      </c>
      <c r="M13" s="166" t="s">
        <v>99</v>
      </c>
      <c r="N13" s="166"/>
      <c r="O13" s="166"/>
      <c r="AA13" s="167"/>
    </row>
    <row r="14" spans="1:30" x14ac:dyDescent="0.25">
      <c r="I14" s="166">
        <v>11</v>
      </c>
      <c r="J14" s="166" t="s">
        <v>203</v>
      </c>
      <c r="L14" s="168" t="s">
        <v>170</v>
      </c>
      <c r="M14" s="166" t="s">
        <v>106</v>
      </c>
      <c r="N14" s="166"/>
      <c r="O14" s="166"/>
      <c r="AA14" s="167"/>
    </row>
    <row r="15" spans="1:30" x14ac:dyDescent="0.25">
      <c r="I15" s="166">
        <v>12</v>
      </c>
      <c r="J15" s="166" t="s">
        <v>204</v>
      </c>
      <c r="L15" s="168" t="s">
        <v>171</v>
      </c>
      <c r="M15" s="166" t="s">
        <v>103</v>
      </c>
      <c r="N15" s="166"/>
      <c r="O15" s="166"/>
      <c r="AA15" s="167"/>
    </row>
    <row r="16" spans="1:30" x14ac:dyDescent="0.25">
      <c r="I16" s="166">
        <v>13</v>
      </c>
      <c r="J16" s="166" t="s">
        <v>205</v>
      </c>
      <c r="L16" s="168" t="s">
        <v>172</v>
      </c>
      <c r="M16" s="166" t="s">
        <v>101</v>
      </c>
      <c r="N16" s="166"/>
      <c r="O16" s="166"/>
      <c r="AA16" s="167"/>
    </row>
    <row r="17" spans="7:27" x14ac:dyDescent="0.25">
      <c r="I17" s="166">
        <v>14</v>
      </c>
      <c r="J17" s="166" t="s">
        <v>206</v>
      </c>
      <c r="L17" s="168" t="s">
        <v>173</v>
      </c>
      <c r="M17" s="166" t="s">
        <v>102</v>
      </c>
      <c r="N17" s="166"/>
      <c r="O17" s="166"/>
      <c r="AA17" s="167"/>
    </row>
    <row r="18" spans="7:27" x14ac:dyDescent="0.25">
      <c r="I18" s="166">
        <v>15</v>
      </c>
      <c r="J18" s="166" t="s">
        <v>207</v>
      </c>
      <c r="L18" s="168" t="s">
        <v>174</v>
      </c>
      <c r="M18" s="166" t="s">
        <v>175</v>
      </c>
      <c r="AA18" s="167"/>
    </row>
    <row r="19" spans="7:27" x14ac:dyDescent="0.25">
      <c r="I19" s="166">
        <v>16</v>
      </c>
      <c r="J19" s="166" t="s">
        <v>208</v>
      </c>
      <c r="L19" s="168" t="s">
        <v>176</v>
      </c>
      <c r="M19" s="166" t="s">
        <v>177</v>
      </c>
      <c r="AA19" s="167"/>
    </row>
    <row r="20" spans="7:27" x14ac:dyDescent="0.25">
      <c r="I20" s="166">
        <v>17</v>
      </c>
      <c r="J20" s="166" t="s">
        <v>209</v>
      </c>
      <c r="AA20" s="167"/>
    </row>
    <row r="21" spans="7:27" x14ac:dyDescent="0.25">
      <c r="G21" s="178" t="s">
        <v>66</v>
      </c>
      <c r="AA21" s="167"/>
    </row>
    <row r="22" spans="7:27" x14ac:dyDescent="0.25">
      <c r="G22" s="178" t="s">
        <v>67</v>
      </c>
      <c r="AA22" s="167"/>
    </row>
    <row r="23" spans="7:27" x14ac:dyDescent="0.25">
      <c r="AA23" s="167"/>
    </row>
    <row r="24" spans="7:27" x14ac:dyDescent="0.25">
      <c r="AA24" s="167"/>
    </row>
    <row r="25" spans="7:27" x14ac:dyDescent="0.25">
      <c r="AA25" s="167"/>
    </row>
    <row r="26" spans="7:27" x14ac:dyDescent="0.25">
      <c r="AA26" s="167"/>
    </row>
    <row r="27" spans="7:27" x14ac:dyDescent="0.25">
      <c r="AA27" s="167"/>
    </row>
    <row r="28" spans="7:27" x14ac:dyDescent="0.25">
      <c r="AA28" s="167"/>
    </row>
    <row r="29" spans="7:27" x14ac:dyDescent="0.25">
      <c r="AA29" s="167"/>
    </row>
    <row r="30" spans="7:27" x14ac:dyDescent="0.25">
      <c r="AA30" s="167"/>
    </row>
    <row r="31" spans="7:27" x14ac:dyDescent="0.25">
      <c r="AA31" s="167"/>
    </row>
    <row r="32" spans="7:27" x14ac:dyDescent="0.25">
      <c r="AA32" s="167"/>
    </row>
    <row r="33" spans="27:27" x14ac:dyDescent="0.25">
      <c r="AA33" s="167"/>
    </row>
    <row r="34" spans="27:27" x14ac:dyDescent="0.25">
      <c r="AA34" s="167"/>
    </row>
    <row r="35" spans="27:27" x14ac:dyDescent="0.25">
      <c r="AA35" s="167"/>
    </row>
    <row r="36" spans="27:27" x14ac:dyDescent="0.25">
      <c r="AA36" s="167"/>
    </row>
    <row r="37" spans="27:27" x14ac:dyDescent="0.25">
      <c r="AA37" s="167"/>
    </row>
    <row r="38" spans="27:27" x14ac:dyDescent="0.25">
      <c r="AA38" s="167"/>
    </row>
    <row r="39" spans="27:27" x14ac:dyDescent="0.25">
      <c r="AA39" s="167"/>
    </row>
    <row r="40" spans="27:27" x14ac:dyDescent="0.25">
      <c r="AA40" s="167"/>
    </row>
    <row r="41" spans="27:27" x14ac:dyDescent="0.25">
      <c r="AA41" s="167"/>
    </row>
    <row r="42" spans="27:27" x14ac:dyDescent="0.25">
      <c r="AA42" s="167"/>
    </row>
    <row r="43" spans="27:27" x14ac:dyDescent="0.25">
      <c r="AA43" s="167"/>
    </row>
    <row r="44" spans="27:27" x14ac:dyDescent="0.25">
      <c r="AA44" s="167"/>
    </row>
    <row r="45" spans="27:27" x14ac:dyDescent="0.25">
      <c r="AA45" s="167"/>
    </row>
    <row r="46" spans="27:27" x14ac:dyDescent="0.25">
      <c r="AA46" s="167"/>
    </row>
    <row r="47" spans="27:27" x14ac:dyDescent="0.25">
      <c r="AA47" s="167"/>
    </row>
    <row r="48" spans="27:27" x14ac:dyDescent="0.25">
      <c r="AA48" s="167"/>
    </row>
    <row r="49" spans="27:27" x14ac:dyDescent="0.25">
      <c r="AA49" s="167"/>
    </row>
    <row r="50" spans="27:27" x14ac:dyDescent="0.25">
      <c r="AA50" s="167"/>
    </row>
    <row r="51" spans="27:27" x14ac:dyDescent="0.25">
      <c r="AA51" s="167"/>
    </row>
    <row r="52" spans="27:27" x14ac:dyDescent="0.25">
      <c r="AA52" s="167"/>
    </row>
    <row r="53" spans="27:27" x14ac:dyDescent="0.25">
      <c r="AA53" s="167"/>
    </row>
    <row r="54" spans="27:27" x14ac:dyDescent="0.25">
      <c r="AA54" s="167"/>
    </row>
    <row r="55" spans="27:27" x14ac:dyDescent="0.25">
      <c r="AA55" s="167"/>
    </row>
    <row r="56" spans="27:27" x14ac:dyDescent="0.25">
      <c r="AA56" s="167"/>
    </row>
    <row r="57" spans="27:27" x14ac:dyDescent="0.25">
      <c r="AA57" s="167"/>
    </row>
    <row r="58" spans="27:27" x14ac:dyDescent="0.25">
      <c r="AA58" s="167"/>
    </row>
    <row r="59" spans="27:27" x14ac:dyDescent="0.25">
      <c r="AA59" s="167"/>
    </row>
    <row r="60" spans="27:27" x14ac:dyDescent="0.25">
      <c r="AA60" s="167"/>
    </row>
    <row r="61" spans="27:27" x14ac:dyDescent="0.25">
      <c r="AA61" s="167"/>
    </row>
    <row r="62" spans="27:27" x14ac:dyDescent="0.25">
      <c r="AA62" s="167"/>
    </row>
    <row r="63" spans="27:27" x14ac:dyDescent="0.25">
      <c r="AA63" s="167"/>
    </row>
    <row r="64" spans="27:27" x14ac:dyDescent="0.25">
      <c r="AA64" s="167"/>
    </row>
    <row r="65" spans="27:27" x14ac:dyDescent="0.25">
      <c r="AA65" s="167"/>
    </row>
    <row r="66" spans="27:27" x14ac:dyDescent="0.25">
      <c r="AA66" s="167"/>
    </row>
    <row r="67" spans="27:27" x14ac:dyDescent="0.25">
      <c r="AA67" s="167"/>
    </row>
    <row r="68" spans="27:27" x14ac:dyDescent="0.25">
      <c r="AA68" s="167"/>
    </row>
    <row r="69" spans="27:27" x14ac:dyDescent="0.25">
      <c r="AA69" s="167"/>
    </row>
    <row r="70" spans="27:27" x14ac:dyDescent="0.25">
      <c r="AA70" s="167"/>
    </row>
    <row r="71" spans="27:27" x14ac:dyDescent="0.25">
      <c r="AA71" s="167"/>
    </row>
    <row r="72" spans="27:27" x14ac:dyDescent="0.25">
      <c r="AA72" s="167"/>
    </row>
    <row r="73" spans="27:27" x14ac:dyDescent="0.25">
      <c r="AA73" s="167"/>
    </row>
    <row r="74" spans="27:27" x14ac:dyDescent="0.25">
      <c r="AA74" s="167"/>
    </row>
  </sheetData>
  <sheetProtection selectLockedCells="1"/>
  <mergeCells count="7">
    <mergeCell ref="A4:F4"/>
    <mergeCell ref="U3:V3"/>
    <mergeCell ref="A1:B1"/>
    <mergeCell ref="L3:M3"/>
    <mergeCell ref="O3:P3"/>
    <mergeCell ref="S3:T3"/>
    <mergeCell ref="A2:B2"/>
  </mergeCells>
  <conditionalFormatting sqref="C1">
    <cfRule type="duplicateValues" dxfId="35" priority="1"/>
  </conditionalFormatting>
  <conditionalFormatting sqref="J4:J20">
    <cfRule type="duplicateValues" dxfId="34" priority="21"/>
  </conditionalFormatting>
  <dataValidations count="11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6" xr:uid="{20BB1B76-110B-4802-A3C9-F998FB85D04E}">
      <formula1>AND(OR(LEFT(A6,1)="0",LEFT(A6,1)="1",LEFT(A6,1)="9"),LEFT(A6,2)&lt;&gt;"00",LEN(A6)=11)</formula1>
    </dataValidation>
    <dataValidation allowBlank="1" showInputMessage="1" showErrorMessage="1" promptTitle="اسم الأب باللغة الانكليزية" prompt="يجب أن يكون صحيح لأن سيتم إعتماده في جميع الوثائق الجامعية" sqref="D9" xr:uid="{6A619120-45D6-42C3-A612-FF8CBB9AD437}"/>
    <dataValidation allowBlank="1" showInputMessage="1" showErrorMessage="1" promptTitle="اسم الأم باللغة الانكليزية" prompt="يجب أن يكون صحيح لأن سيتم إعتماده في جميع الوثائق الجامعية" sqref="E9" xr:uid="{4DBCD47E-0D2C-40AE-8A41-CA42EEA9ADE1}"/>
    <dataValidation allowBlank="1" showInputMessage="1" showErrorMessage="1" promptTitle="مكان الميلاد باللغة الانكليزية" prompt="يجب أن يكون صحيح لأن سيتم إعتماده في جميع الوثائق الجامعية" sqref="F9" xr:uid="{289FCAEC-98E1-4618-808B-7C0318BC6DFA}"/>
    <dataValidation type="list" allowBlank="1" showInputMessage="1" showErrorMessage="1" sqref="G11" xr:uid="{00000000-0002-0000-0100-000007000000}">
      <formula1>$M$4:$M$18</formula1>
    </dataValidation>
    <dataValidation type="list" allowBlank="1" showInputMessage="1" showErrorMessage="1" sqref="D11" xr:uid="{00000000-0002-0000-0100-000008000000}">
      <formula1>$V$4:$V$5</formula1>
    </dataValidation>
    <dataValidation type="list" allowBlank="1" showInputMessage="1" showErrorMessage="1" sqref="E11" xr:uid="{00000000-0002-0000-0100-00000A000000}">
      <formula1>$T$4:$T$7</formula1>
    </dataValidation>
    <dataValidation type="list" allowBlank="1" showInputMessage="1" showErrorMessage="1" sqref="F1" xr:uid="{00000000-0002-0000-0100-00000B000000}">
      <formula1>$H$2:$H$8</formula1>
    </dataValidation>
    <dataValidation type="list" allowBlank="1" showInputMessage="1" showErrorMessage="1" sqref="F2" xr:uid="{00000000-0002-0000-0100-00000C000000}">
      <formula1>$AD$7:$AD$8</formula1>
    </dataValidation>
    <dataValidation type="custom" allowBlank="1" showInputMessage="1" showErrorMessage="1" errorTitle="خطأ" error="رقم الهاتف غير صحيح_x000a_يجب كتابة نداء المحافظة ثم رقم الهاتف_x000a_" sqref="D6" xr:uid="{7219B6D1-441C-4084-9068-9938893788ED}">
      <formula1>AND(LEFT(D6,1)="0",AND(LEN(D6)&gt;8,LEN(D6)&lt;12))</formula1>
    </dataValidation>
    <dataValidation type="custom" allowBlank="1" showInputMessage="1" showErrorMessage="1" errorTitle="خطأ" error="رقم الموبايل غير صحيح" sqref="E6" xr:uid="{4DF45289-7346-46AC-B71E-CC1E00062935}">
      <formula1>AND(LEFT(E6,2)="09",LEN(E6)=10)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76F7DA08-646B-478B-BD9A-34088B939B5A}">
            <xm:f>'اختيار المقررات'!$E$2="مستنفذ"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A4:F13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P58"/>
  <sheetViews>
    <sheetView showGridLines="0" rightToLeft="1" topLeftCell="C1" workbookViewId="0">
      <selection activeCell="P12" sqref="P12:Q13"/>
    </sheetView>
  </sheetViews>
  <sheetFormatPr defaultColWidth="9" defaultRowHeight="14.25" customHeight="1" x14ac:dyDescent="0.25"/>
  <cols>
    <col min="1" max="1" width="9.09765625" style="1" hidden="1" customWidth="1"/>
    <col min="2" max="2" width="12.69921875" style="1" hidden="1" customWidth="1"/>
    <col min="3" max="3" width="5.5" style="1" customWidth="1"/>
    <col min="4" max="4" width="6.5" style="1" customWidth="1"/>
    <col min="5" max="5" width="5" style="1" customWidth="1"/>
    <col min="6" max="6" width="3.5" style="1" customWidth="1"/>
    <col min="7" max="7" width="8.5" style="1" customWidth="1"/>
    <col min="8" max="8" width="3.5" style="1" customWidth="1"/>
    <col min="9" max="9" width="5.19921875" style="1" customWidth="1"/>
    <col min="10" max="10" width="5" style="1" customWidth="1"/>
    <col min="11" max="11" width="4" style="1" hidden="1" customWidth="1"/>
    <col min="12" max="12" width="5.5" style="1" customWidth="1"/>
    <col min="13" max="14" width="9.5" style="1" customWidth="1"/>
    <col min="15" max="15" width="7.5" style="1" customWidth="1"/>
    <col min="16" max="17" width="3.5" style="1" customWidth="1"/>
    <col min="18" max="18" width="3.59765625" style="1" customWidth="1"/>
    <col min="19" max="19" width="4" style="1" hidden="1" customWidth="1"/>
    <col min="20" max="21" width="5.5" style="1" customWidth="1"/>
    <col min="22" max="22" width="5.5" style="1" bestFit="1" customWidth="1"/>
    <col min="23" max="23" width="17.5" style="1" customWidth="1"/>
    <col min="24" max="24" width="3.5" style="1" customWidth="1"/>
    <col min="25" max="25" width="5.8984375" style="1" customWidth="1"/>
    <col min="26" max="26" width="4.5" style="1" customWidth="1"/>
    <col min="27" max="27" width="5.09765625" style="1" hidden="1" customWidth="1"/>
    <col min="28" max="28" width="5.5" style="1" customWidth="1"/>
    <col min="29" max="29" width="10" style="1" customWidth="1"/>
    <col min="30" max="30" width="15" style="1" customWidth="1"/>
    <col min="31" max="31" width="2.5" style="1" bestFit="1" customWidth="1"/>
    <col min="32" max="33" width="3.5" style="1" customWidth="1"/>
    <col min="34" max="34" width="5" style="1" bestFit="1" customWidth="1"/>
    <col min="35" max="35" width="3.8984375" style="1" customWidth="1"/>
    <col min="36" max="36" width="10.3984375" style="1" customWidth="1"/>
    <col min="37" max="37" width="8.59765625" style="1" customWidth="1"/>
    <col min="38" max="38" width="3.8984375" style="1" hidden="1" customWidth="1"/>
    <col min="39" max="39" width="3" style="1" hidden="1" customWidth="1"/>
    <col min="40" max="40" width="11.3984375" style="1" hidden="1" customWidth="1"/>
    <col min="41" max="41" width="43" style="1" hidden="1" customWidth="1"/>
    <col min="42" max="46" width="9" style="1" hidden="1" customWidth="1"/>
    <col min="47" max="47" width="3.3984375" style="70" hidden="1" customWidth="1"/>
    <col min="48" max="48" width="4.19921875" hidden="1" customWidth="1"/>
    <col min="49" max="49" width="30.59765625" hidden="1" customWidth="1"/>
    <col min="50" max="50" width="2.09765625" style="70" hidden="1" customWidth="1"/>
    <col min="51" max="54" width="9" style="70" hidden="1" customWidth="1"/>
    <col min="55" max="55" width="3.59765625" style="1" hidden="1" customWidth="1"/>
    <col min="56" max="16384" width="9" style="1"/>
  </cols>
  <sheetData>
    <row r="1" spans="1:57" s="52" customFormat="1" ht="21" customHeight="1" thickBot="1" x14ac:dyDescent="0.3">
      <c r="B1" s="147"/>
      <c r="C1" s="356" t="s">
        <v>2</v>
      </c>
      <c r="D1" s="356"/>
      <c r="E1" s="357">
        <f>'إدخال البيانات'!C1</f>
        <v>0</v>
      </c>
      <c r="F1" s="358"/>
      <c r="G1" s="358"/>
      <c r="H1" s="356" t="s">
        <v>3</v>
      </c>
      <c r="I1" s="356"/>
      <c r="J1" s="356"/>
      <c r="K1" s="148"/>
      <c r="L1" s="359">
        <f>'إدخال البيانات'!C2</f>
        <v>0</v>
      </c>
      <c r="M1" s="359"/>
      <c r="N1" s="359"/>
      <c r="O1" s="355" t="s">
        <v>4</v>
      </c>
      <c r="P1" s="355"/>
      <c r="Q1" s="359">
        <f>'إدخال البيانات'!A9</f>
        <v>0</v>
      </c>
      <c r="R1" s="359"/>
      <c r="S1" s="359"/>
      <c r="T1" s="359"/>
      <c r="U1" s="355" t="s">
        <v>5</v>
      </c>
      <c r="V1" s="355"/>
      <c r="W1" s="149">
        <f>'إدخال البيانات'!B9</f>
        <v>0</v>
      </c>
      <c r="X1" s="355" t="s">
        <v>51</v>
      </c>
      <c r="Y1" s="355"/>
      <c r="Z1" s="355"/>
      <c r="AA1" s="151"/>
      <c r="AB1" s="361">
        <f>'إدخال البيانات'!A12</f>
        <v>0</v>
      </c>
      <c r="AC1" s="361"/>
      <c r="AD1" s="150" t="s">
        <v>6</v>
      </c>
      <c r="AE1" s="359">
        <f>'إدخال البيانات'!B12</f>
        <v>0</v>
      </c>
      <c r="AF1" s="359"/>
      <c r="AG1" s="359"/>
      <c r="AH1" s="367"/>
      <c r="AI1" s="367"/>
      <c r="AJ1" s="99"/>
      <c r="AK1" s="99"/>
      <c r="AL1" s="56"/>
      <c r="AO1" s="52" t="s">
        <v>70</v>
      </c>
      <c r="AV1"/>
      <c r="AW1"/>
      <c r="AX1" s="59"/>
      <c r="AY1" s="59"/>
      <c r="AZ1" s="59"/>
      <c r="BA1" s="59"/>
      <c r="BB1" s="59"/>
      <c r="BC1" s="59"/>
    </row>
    <row r="2" spans="1:57" s="56" customFormat="1" ht="21" customHeight="1" thickTop="1" x14ac:dyDescent="0.25">
      <c r="B2" s="147"/>
      <c r="C2" s="356" t="s">
        <v>9</v>
      </c>
      <c r="D2" s="356"/>
      <c r="E2" s="359">
        <f>'إدخال البيانات'!F1</f>
        <v>0</v>
      </c>
      <c r="F2" s="359"/>
      <c r="G2" s="359"/>
      <c r="H2" s="359">
        <f>'إدخال البيانات'!F9</f>
        <v>0</v>
      </c>
      <c r="I2" s="359"/>
      <c r="J2" s="359"/>
      <c r="K2" s="359"/>
      <c r="L2" s="359"/>
      <c r="M2" s="359"/>
      <c r="N2" s="359"/>
      <c r="O2" s="355" t="s">
        <v>80</v>
      </c>
      <c r="P2" s="355"/>
      <c r="Q2" s="359">
        <f>'إدخال البيانات'!E9</f>
        <v>0</v>
      </c>
      <c r="R2" s="359"/>
      <c r="S2" s="359"/>
      <c r="T2" s="359"/>
      <c r="U2" s="355" t="s">
        <v>81</v>
      </c>
      <c r="V2" s="355"/>
      <c r="W2" s="149">
        <f>'إدخال البيانات'!D9</f>
        <v>0</v>
      </c>
      <c r="X2" s="355" t="s">
        <v>82</v>
      </c>
      <c r="Y2" s="355"/>
      <c r="Z2" s="355"/>
      <c r="AA2" s="152"/>
      <c r="AB2" s="361">
        <f>'إدخال البيانات'!C9</f>
        <v>0</v>
      </c>
      <c r="AC2" s="361"/>
      <c r="AD2" s="150" t="s">
        <v>83</v>
      </c>
      <c r="AE2" s="369"/>
      <c r="AF2" s="369"/>
      <c r="AG2" s="369"/>
      <c r="AH2" s="367"/>
      <c r="AI2" s="367"/>
      <c r="AJ2" s="99"/>
      <c r="AK2" s="99"/>
      <c r="AO2" s="56" t="s">
        <v>71</v>
      </c>
      <c r="AV2"/>
      <c r="AW2"/>
      <c r="AX2" s="59"/>
      <c r="AY2" s="59"/>
      <c r="AZ2" s="59"/>
      <c r="BA2" s="59"/>
      <c r="BB2" s="59"/>
      <c r="BC2" s="59"/>
    </row>
    <row r="3" spans="1:57" s="56" customFormat="1" ht="21" customHeight="1" x14ac:dyDescent="0.25">
      <c r="B3" s="356" t="s">
        <v>11</v>
      </c>
      <c r="C3" s="356"/>
      <c r="D3" s="356"/>
      <c r="E3" s="363">
        <f>'إدخال البيانات'!D12</f>
        <v>0</v>
      </c>
      <c r="F3" s="363"/>
      <c r="G3" s="363"/>
      <c r="H3" s="356" t="s">
        <v>10</v>
      </c>
      <c r="I3" s="356"/>
      <c r="J3" s="356"/>
      <c r="K3" s="154"/>
      <c r="L3" s="359">
        <f>'إدخال البيانات'!C12</f>
        <v>0</v>
      </c>
      <c r="M3" s="359"/>
      <c r="N3" s="359"/>
      <c r="O3" s="355" t="s">
        <v>52</v>
      </c>
      <c r="P3" s="355"/>
      <c r="Q3" s="366">
        <f>'إدخال البيانات'!A6</f>
        <v>0</v>
      </c>
      <c r="R3" s="359"/>
      <c r="S3" s="359"/>
      <c r="T3" s="359"/>
      <c r="U3" s="355" t="s">
        <v>16</v>
      </c>
      <c r="V3" s="355"/>
      <c r="W3" s="153" t="str">
        <f>IFERROR(IF(L3&lt;&gt;'إدخال البيانات'!J4,'إدخال البيانات'!M19,VLOOKUP(LEFT('إدخال البيانات'!A6,2),'إدخال البيانات'!L4:M17,2,0)),"")</f>
        <v>غير سوري</v>
      </c>
      <c r="X3" s="355" t="s">
        <v>84</v>
      </c>
      <c r="Y3" s="355"/>
      <c r="Z3" s="355"/>
      <c r="AA3" s="155"/>
      <c r="AB3" s="360">
        <f>'إدخال البيانات'!C6</f>
        <v>0</v>
      </c>
      <c r="AC3" s="360"/>
      <c r="AD3" s="150" t="s">
        <v>65</v>
      </c>
      <c r="AE3" s="363">
        <f>'إدخال البيانات'!G6</f>
        <v>0</v>
      </c>
      <c r="AF3" s="363"/>
      <c r="AG3" s="363"/>
      <c r="AH3" s="368"/>
      <c r="AI3" s="368"/>
      <c r="AJ3" s="99"/>
      <c r="AK3" s="99"/>
      <c r="AO3" s="56" t="s">
        <v>45</v>
      </c>
      <c r="AV3"/>
      <c r="AW3"/>
      <c r="AX3" s="59"/>
      <c r="AY3" s="59"/>
      <c r="AZ3" s="59"/>
      <c r="BA3" s="59"/>
      <c r="BB3" s="59"/>
      <c r="BC3" s="59"/>
    </row>
    <row r="4" spans="1:57" s="56" customFormat="1" ht="21" customHeight="1" thickBot="1" x14ac:dyDescent="0.3">
      <c r="B4" s="147"/>
      <c r="C4" s="356" t="s">
        <v>12</v>
      </c>
      <c r="D4" s="356"/>
      <c r="E4" s="363">
        <f>'إدخال البيانات'!E12</f>
        <v>0</v>
      </c>
      <c r="F4" s="363"/>
      <c r="G4" s="363"/>
      <c r="H4" s="356" t="s">
        <v>13</v>
      </c>
      <c r="I4" s="356"/>
      <c r="J4" s="356"/>
      <c r="K4" s="156"/>
      <c r="L4" s="359">
        <f>'إدخال البيانات'!F12</f>
        <v>0</v>
      </c>
      <c r="M4" s="359"/>
      <c r="N4" s="359"/>
      <c r="O4" s="355" t="s">
        <v>14</v>
      </c>
      <c r="P4" s="355"/>
      <c r="Q4" s="359">
        <f>'إدخال البيانات'!G12</f>
        <v>0</v>
      </c>
      <c r="R4" s="359"/>
      <c r="S4" s="359"/>
      <c r="T4" s="359"/>
      <c r="U4" s="355" t="s">
        <v>63</v>
      </c>
      <c r="V4" s="355"/>
      <c r="W4" s="157">
        <f>'إدخال البيانات'!E6</f>
        <v>0</v>
      </c>
      <c r="X4" s="355" t="s">
        <v>64</v>
      </c>
      <c r="Y4" s="355"/>
      <c r="Z4" s="355"/>
      <c r="AA4" s="155"/>
      <c r="AB4" s="366">
        <f>'إدخال البيانات'!D6</f>
        <v>0</v>
      </c>
      <c r="AC4" s="360"/>
      <c r="AD4" s="150" t="s">
        <v>56</v>
      </c>
      <c r="AE4" s="363">
        <f>'إدخال البيانات'!F6</f>
        <v>0</v>
      </c>
      <c r="AF4" s="363"/>
      <c r="AG4" s="363"/>
      <c r="AH4" s="363"/>
      <c r="AI4" s="363"/>
      <c r="AJ4" s="99"/>
      <c r="AK4" s="99">
        <f>الإستمارة!AJ1</f>
        <v>19</v>
      </c>
      <c r="AM4" s="52"/>
      <c r="AO4" s="42" t="s">
        <v>58</v>
      </c>
      <c r="AV4"/>
      <c r="AW4"/>
      <c r="AX4" s="59"/>
      <c r="AY4" s="59"/>
      <c r="AZ4" s="59"/>
      <c r="BA4" s="59"/>
      <c r="BB4" s="59"/>
      <c r="BC4" s="59" t="s">
        <v>85</v>
      </c>
    </row>
    <row r="5" spans="1:57" s="56" customFormat="1" ht="21" customHeight="1" thickTop="1" x14ac:dyDescent="0.25">
      <c r="B5" s="155"/>
      <c r="C5" s="364" t="s">
        <v>69</v>
      </c>
      <c r="D5" s="364"/>
      <c r="E5" s="364"/>
      <c r="F5" s="365"/>
      <c r="G5" s="365"/>
      <c r="H5" s="365"/>
      <c r="I5" s="365"/>
      <c r="J5" s="365"/>
      <c r="K5" s="365"/>
      <c r="L5" s="365"/>
      <c r="M5" s="365"/>
      <c r="N5" s="365"/>
      <c r="O5" s="355" t="s">
        <v>178</v>
      </c>
      <c r="P5" s="355"/>
      <c r="Q5" s="359" t="e">
        <f>VLOOKUP(E1,#REF!,14,0)</f>
        <v>#REF!</v>
      </c>
      <c r="R5" s="359"/>
      <c r="S5" s="359"/>
      <c r="T5" s="359"/>
      <c r="U5" s="355" t="s">
        <v>0</v>
      </c>
      <c r="V5" s="355"/>
      <c r="W5" s="163" t="e">
        <f>VLOOKUP(E1,#REF!,15,0)</f>
        <v>#REF!</v>
      </c>
      <c r="X5" s="355" t="s">
        <v>179</v>
      </c>
      <c r="Y5" s="355"/>
      <c r="Z5" s="355"/>
      <c r="AA5" s="155"/>
      <c r="AB5" s="362" t="e">
        <f>VLOOKUP(E1,#REF!,16,0)</f>
        <v>#REF!</v>
      </c>
      <c r="AC5" s="362"/>
      <c r="AD5" s="158"/>
      <c r="AE5" s="159"/>
      <c r="AF5" s="159"/>
      <c r="AG5" s="159"/>
      <c r="AH5" s="158"/>
      <c r="AI5" s="158"/>
      <c r="AJ5" s="99"/>
      <c r="AK5" s="99"/>
      <c r="AL5" s="102"/>
      <c r="AO5" s="56" t="s">
        <v>140</v>
      </c>
      <c r="AU5" s="56">
        <v>1</v>
      </c>
      <c r="AV5">
        <v>610</v>
      </c>
      <c r="AW5" t="s">
        <v>250</v>
      </c>
      <c r="AX5" s="84">
        <f>H8</f>
        <v>0</v>
      </c>
      <c r="AY5" s="84">
        <f>I8</f>
        <v>0</v>
      </c>
      <c r="AZ5" s="60"/>
      <c r="BA5" s="48"/>
      <c r="BC5" s="56" t="s">
        <v>86</v>
      </c>
      <c r="BE5" s="48"/>
    </row>
    <row r="6" spans="1:57" ht="43.5" customHeight="1" thickBot="1" x14ac:dyDescent="0.3">
      <c r="A6"/>
      <c r="B6" s="344" t="str">
        <f>IF(E2="مستنفذ","استنفذت فرص التسجيل في برنامج رياض الأطفال بسبب رسوبك لمدة ثلاث سنوات متتالية","مقررات السنة الأولى")</f>
        <v>مقررات السنة الأولى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5"/>
      <c r="S6" s="164"/>
      <c r="T6" s="342" t="str">
        <f>IF(E1&lt;&gt;"","مقررات السنة الثالثة","لايحق لك تعديل الاستمارة بعد تثبيت التسجيل تحت طائلة إلغاء التسجيل")</f>
        <v>مقررات السنة الثالثة</v>
      </c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165"/>
      <c r="AI6" s="165"/>
      <c r="AJ6" s="99"/>
      <c r="AK6" s="99"/>
      <c r="AL6" s="56"/>
      <c r="AN6" s="56"/>
      <c r="AO6" s="56" t="s">
        <v>72</v>
      </c>
      <c r="AU6" s="56">
        <v>2</v>
      </c>
      <c r="AV6">
        <v>611</v>
      </c>
      <c r="AW6" t="s">
        <v>251</v>
      </c>
      <c r="AX6" s="84">
        <f t="shared" ref="AX6:AX10" si="0">H9</f>
        <v>0</v>
      </c>
      <c r="AY6" s="84">
        <f>I9</f>
        <v>0</v>
      </c>
      <c r="AZ6" s="48"/>
      <c r="BC6" s="116"/>
      <c r="BD6" s="116"/>
      <c r="BE6" s="48"/>
    </row>
    <row r="7" spans="1:57" ht="23.25" customHeight="1" thickBot="1" x14ac:dyDescent="0.3">
      <c r="B7" s="329" t="s">
        <v>17</v>
      </c>
      <c r="C7" s="329"/>
      <c r="D7" s="329"/>
      <c r="E7" s="329"/>
      <c r="F7" s="329"/>
      <c r="G7" s="329"/>
      <c r="H7" s="329"/>
      <c r="I7" s="330"/>
      <c r="J7" s="103"/>
      <c r="K7" s="114"/>
      <c r="L7" s="331" t="s">
        <v>18</v>
      </c>
      <c r="M7" s="329"/>
      <c r="N7" s="329"/>
      <c r="O7" s="329"/>
      <c r="P7" s="329"/>
      <c r="Q7" s="330"/>
      <c r="R7" s="71"/>
      <c r="S7" s="72"/>
      <c r="T7" s="332" t="s">
        <v>19</v>
      </c>
      <c r="U7" s="333"/>
      <c r="V7" s="333"/>
      <c r="W7" s="333"/>
      <c r="X7" s="333"/>
      <c r="Y7" s="334"/>
      <c r="Z7" s="103"/>
      <c r="AA7" s="73"/>
      <c r="AB7" s="332" t="s">
        <v>18</v>
      </c>
      <c r="AC7" s="333"/>
      <c r="AD7" s="333"/>
      <c r="AE7" s="333"/>
      <c r="AF7" s="333"/>
      <c r="AG7" s="334"/>
      <c r="AH7" s="99"/>
      <c r="AI7" s="99"/>
      <c r="AJ7" s="99"/>
      <c r="AK7" s="100"/>
      <c r="AL7" s="56"/>
      <c r="AN7" s="56"/>
      <c r="AO7" s="56" t="s">
        <v>8</v>
      </c>
      <c r="AU7" s="56">
        <v>3</v>
      </c>
      <c r="AV7">
        <v>612</v>
      </c>
      <c r="AW7" t="s">
        <v>252</v>
      </c>
      <c r="AX7" s="84">
        <f t="shared" si="0"/>
        <v>0</v>
      </c>
      <c r="AY7" s="84">
        <f t="shared" ref="AY7:AY10" si="1">I10</f>
        <v>0</v>
      </c>
      <c r="AZ7" s="49"/>
      <c r="BC7" s="50"/>
      <c r="BD7" s="50"/>
      <c r="BE7" s="49"/>
    </row>
    <row r="8" spans="1:57" ht="19.2" customHeight="1" thickBot="1" x14ac:dyDescent="0.35">
      <c r="A8" s="38" t="str">
        <f>IF(AND(I8&lt;&gt;"",OR(H8=1,H8=2,H8=3)),1,"")</f>
        <v/>
      </c>
      <c r="B8" s="74" t="b">
        <f>IF(AND(I8="A",H8=1),50000,IF(OR(I8="ج",I8="ر1",I8="ر2"),IF(H8=1,IF(OR($F$5=$AO$8,$F$5=$AO$9),0,IF(OR($F$5=$AO$1,$F$5=$AO$2,$F$5=$AO$5,$F$5=$AO$6),IF(I8="ج",20000,IF(I8="ر1",28000,IF(I8="ر2",36000,""))),IF(OR($F$5=$AO$3,$F$5=$AO$7),IF(I8="ج",12500,IF(I8="ر1",17500,IF(I8="ر2",22500,""))),IF($F$5=$AO$4,500,IF(I8="ج",25000,IF(I8="ر1",35000,IF(I8="ر2",45000,""))))))))))</f>
        <v>0</v>
      </c>
      <c r="C8" s="184">
        <v>610</v>
      </c>
      <c r="D8" s="335" t="s">
        <v>250</v>
      </c>
      <c r="E8" s="335"/>
      <c r="F8" s="335"/>
      <c r="G8" s="335"/>
      <c r="H8" s="185"/>
      <c r="I8" s="187"/>
      <c r="J8" s="111" t="str">
        <f>IF(AND(Q8&lt;&gt;"",OR(P8=1,P8=2,P8=3)),7,"")</f>
        <v/>
      </c>
      <c r="K8" s="188" t="b">
        <f>IF(AND(Q8="A",P8=1),50000,IF(OR(Q8="ج",Q8="ر1",Q8="ر2"),IF(P8=1,IF(OR($F$5=$AO$8,$F$5=$AO$9),0,IF(OR($F$5=$AO$1,$F$5=$AO$2,$F$5=$AO$5,$F$5=$AO$6),IF(Q8="ج",20000,IF(Q8="ر1",28000,IF(Q8="ر2",36000,""))),IF(OR($F$5=$AO$3,$F$5=$AO$7),IF(Q8="ج",12500,IF(Q8="ر1",17500,IF(Q8="ر2",22500,""))),IF($F$5=$AO$4,500,IF(Q8="ج",25000,IF(Q8="ر1",35000,IF(Q8="ر2",45000,""))))))))))</f>
        <v>0</v>
      </c>
      <c r="L8" s="184">
        <v>616</v>
      </c>
      <c r="M8" s="335" t="s">
        <v>256</v>
      </c>
      <c r="N8" s="335"/>
      <c r="O8" s="335"/>
      <c r="P8" s="185"/>
      <c r="Q8" s="187"/>
      <c r="R8" s="71" t="str">
        <f>IF(AND(Y8&lt;&gt;"",OR(X8=1,X8=2,X8=3)),25,"")</f>
        <v/>
      </c>
      <c r="S8" s="188" t="b">
        <f>IF(AND(Y8="A",X8=1),50000,IF(OR(Y8="ج",Y8="ر1",Y8="ر2"),IF(X8=1,IF(OR($F$5=$AO$8,$F$5=$AO$9),0,IF(OR($F$5=$AO$1,$F$5=$AO$2,$F$5=$AO$5,$F$5=$AO$6),IF(Y8="ج",20000,IF(Y8="ر1",28000,IF(Y8="ر2",36000,""))),IF(OR($F$5=$AO$3,$F$5=$AO$7),IF(Y8="ج",12500,IF(Y8="ر1",17500,IF(Y8="ر2",22500,""))),IF($F$5=$AO$4,500,IF(Y8="ج",25000,IF(Y8="ر1",35000,IF(Y8="ر2",45000,""))))))))))</f>
        <v>0</v>
      </c>
      <c r="T8" s="184">
        <v>640</v>
      </c>
      <c r="U8" s="335" t="s">
        <v>273</v>
      </c>
      <c r="V8" s="335">
        <v>640</v>
      </c>
      <c r="W8" s="335" t="s">
        <v>273</v>
      </c>
      <c r="X8" s="185"/>
      <c r="Y8" s="187"/>
      <c r="Z8" s="111" t="str">
        <f>IF(AND(AG8&lt;&gt;"",OR(AF8=1,AF8=2,AF8=3)),31,"")</f>
        <v/>
      </c>
      <c r="AA8" s="188" t="b">
        <f>IF(AND(AG8="A",AF8=1),50000,IF(OR(AG8="ج",AG8="ر1",AG8="ر2"),IF(AF8=1,IF(OR($F$5=$AO$8,$F$5=$AO$9),0,IF(OR($F$5=$AO$1,$F$5=$AO$2,$F$5=$AO$5,$F$5=$AO$6),IF(AG8="ج",20000,IF(AG8="ر1",28000,IF(AG8="ر2",36000,""))),IF(OR($F$5=$AO$3,$F$5=$AO$7),IF(AG8="ج",12500,IF(AG8="ر1",17500,IF(AG8="ر2",22500,""))),IF($F$5=$AO$4,500,IF(AG8="ج",25000,IF(AG8="ر1",35000,IF(AG8="ر2",45000,""))))))))))</f>
        <v>0</v>
      </c>
      <c r="AB8" s="184">
        <v>646</v>
      </c>
      <c r="AC8" s="339" t="s">
        <v>279</v>
      </c>
      <c r="AD8" s="340">
        <v>646</v>
      </c>
      <c r="AE8" s="341" t="s">
        <v>279</v>
      </c>
      <c r="AF8" s="185"/>
      <c r="AG8" s="187"/>
      <c r="AH8" s="101"/>
      <c r="AI8" s="101"/>
      <c r="AJ8" s="101"/>
      <c r="AK8" s="100"/>
      <c r="AL8" s="56" t="str">
        <f t="shared" ref="AL8:AL13" si="2">IF(A8&lt;&gt;"",A8,"")</f>
        <v/>
      </c>
      <c r="AM8" s="1">
        <v>1</v>
      </c>
      <c r="AN8" s="56"/>
      <c r="AO8" s="1" t="s">
        <v>141</v>
      </c>
      <c r="AU8" s="56">
        <v>4</v>
      </c>
      <c r="AV8">
        <v>613</v>
      </c>
      <c r="AW8" t="s">
        <v>253</v>
      </c>
      <c r="AX8" s="84">
        <f t="shared" si="0"/>
        <v>0</v>
      </c>
      <c r="AY8" s="84">
        <f t="shared" si="1"/>
        <v>0</v>
      </c>
      <c r="AZ8" s="49"/>
      <c r="BC8" s="50"/>
      <c r="BD8" s="50"/>
      <c r="BE8" s="49"/>
    </row>
    <row r="9" spans="1:57" ht="19.2" customHeight="1" thickBot="1" x14ac:dyDescent="0.3">
      <c r="A9" s="38" t="str">
        <f>IF(AND(I9&lt;&gt;"",OR(H9=1,H9=2,H9=3)),2,"")</f>
        <v/>
      </c>
      <c r="B9" s="74" t="b">
        <f t="shared" ref="B9:B13" si="3">IF(AND(I9="A",H9=1),50000,IF(OR(I9="ج",I9="ر1",I9="ر2"),IF(H9=1,IF(OR($F$5=$AO$8,$F$5=$AO$9),0,IF(OR($F$5=$AO$1,$F$5=$AO$2,$F$5=$AO$5,$F$5=$AO$6),IF(I9="ج",20000,IF(I9="ر1",28000,IF(I9="ر2",36000,""))),IF(OR($F$5=$AO$3,$F$5=$AO$7),IF(I9="ج",12500,IF(I9="ر1",17500,IF(I9="ر2",22500,""))),IF($F$5=$AO$4,500,IF(I9="ج",25000,IF(I9="ر1",35000,IF(I9="ر2",45000,""))))))))))</f>
        <v>0</v>
      </c>
      <c r="C9" s="184">
        <v>611</v>
      </c>
      <c r="D9" s="335" t="s">
        <v>251</v>
      </c>
      <c r="E9" s="335" t="s">
        <v>226</v>
      </c>
      <c r="F9" s="335" t="s">
        <v>226</v>
      </c>
      <c r="G9" s="335" t="s">
        <v>226</v>
      </c>
      <c r="H9" s="186"/>
      <c r="I9" s="187"/>
      <c r="J9" s="111" t="str">
        <f>IF(AND(Q9&lt;&gt;"",OR(P9=1,P9=2,P9=3)),8,"")</f>
        <v/>
      </c>
      <c r="K9" s="188" t="b">
        <f t="shared" ref="K9:K13" si="4">IF(AND(Q9="A",P9=1),50000,IF(OR(Q9="ج",Q9="ر1",Q9="ر2"),IF(P9=1,IF(OR($F$5=$AO$8,$F$5=$AO$9),0,IF(OR($F$5=$AO$1,$F$5=$AO$2,$F$5=$AO$5,$F$5=$AO$6),IF(Q9="ج",20000,IF(Q9="ر1",28000,IF(Q9="ر2",36000,""))),IF(OR($F$5=$AO$3,$F$5=$AO$7),IF(Q9="ج",12500,IF(Q9="ر1",17500,IF(Q9="ر2",22500,""))),IF($F$5=$AO$4,500,IF(Q9="ج",25000,IF(Q9="ر1",35000,IF(Q9="ر2",45000,""))))))))))</f>
        <v>0</v>
      </c>
      <c r="L9" s="184">
        <v>617</v>
      </c>
      <c r="M9" s="335" t="s">
        <v>257</v>
      </c>
      <c r="N9" s="335">
        <v>617</v>
      </c>
      <c r="O9" s="335" t="s">
        <v>257</v>
      </c>
      <c r="P9" s="186"/>
      <c r="Q9" s="187"/>
      <c r="R9" s="71" t="str">
        <f>IF(AND(Y9&lt;&gt;"",OR(X9=1,X9=2,X9=3)),26,"")</f>
        <v/>
      </c>
      <c r="S9" s="188" t="b">
        <f t="shared" ref="S9:S13" si="5">IF(AND(Y9="A",X9=1),50000,IF(OR(Y9="ج",Y9="ر1",Y9="ر2"),IF(X9=1,IF(OR($F$5=$AO$8,$F$5=$AO$9),0,IF(OR($F$5=$AO$1,$F$5=$AO$2,$F$5=$AO$5,$F$5=$AO$6),IF(Y9="ج",20000,IF(Y9="ر1",28000,IF(Y9="ر2",36000,""))),IF(OR($F$5=$AO$3,$F$5=$AO$7),IF(Y9="ج",12500,IF(Y9="ر1",17500,IF(Y9="ر2",22500,""))),IF($F$5=$AO$4,500,IF(Y9="ج",25000,IF(Y9="ر1",35000,IF(Y9="ر2",45000,""))))))))))</f>
        <v>0</v>
      </c>
      <c r="T9" s="184">
        <v>641</v>
      </c>
      <c r="U9" s="335" t="s">
        <v>274</v>
      </c>
      <c r="V9" s="335">
        <v>641</v>
      </c>
      <c r="W9" s="335" t="s">
        <v>274</v>
      </c>
      <c r="X9" s="186"/>
      <c r="Y9" s="187"/>
      <c r="Z9" s="111" t="str">
        <f>IF(AND(AG9&lt;&gt;"",OR(AF9=1,AF9=2,AF9=3)),32,"")</f>
        <v/>
      </c>
      <c r="AA9" s="188" t="b">
        <f t="shared" ref="AA9:AA13" si="6">IF(AND(AG9="A",AF9=1),50000,IF(OR(AG9="ج",AG9="ر1",AG9="ر2"),IF(AF9=1,IF(OR($F$5=$AO$8,$F$5=$AO$9),0,IF(OR($F$5=$AO$1,$F$5=$AO$2,$F$5=$AO$5,$F$5=$AO$6),IF(AG9="ج",20000,IF(AG9="ر1",28000,IF(AG9="ر2",36000,""))),IF(OR($F$5=$AO$3,$F$5=$AO$7),IF(AG9="ج",12500,IF(AG9="ر1",17500,IF(AG9="ر2",22500,""))),IF($F$5=$AO$4,500,IF(AG9="ج",25000,IF(AG9="ر1",35000,IF(AG9="ر2",45000,""))))))))))</f>
        <v>0</v>
      </c>
      <c r="AB9" s="184">
        <v>647</v>
      </c>
      <c r="AC9" s="339" t="s">
        <v>280</v>
      </c>
      <c r="AD9" s="340">
        <v>647</v>
      </c>
      <c r="AE9" s="341" t="s">
        <v>280</v>
      </c>
      <c r="AF9" s="185"/>
      <c r="AG9" s="187"/>
      <c r="AH9" s="351"/>
      <c r="AI9" s="352"/>
      <c r="AJ9" s="352"/>
      <c r="AK9" s="100"/>
      <c r="AL9" s="56" t="str">
        <f t="shared" si="2"/>
        <v/>
      </c>
      <c r="AM9" s="1">
        <v>2</v>
      </c>
      <c r="AO9" s="1" t="s">
        <v>15</v>
      </c>
      <c r="AU9" s="56">
        <v>5</v>
      </c>
      <c r="AV9">
        <v>614</v>
      </c>
      <c r="AW9" t="s">
        <v>254</v>
      </c>
      <c r="AX9" s="84">
        <f t="shared" si="0"/>
        <v>0</v>
      </c>
      <c r="AY9" s="84">
        <f t="shared" si="1"/>
        <v>0</v>
      </c>
      <c r="AZ9" s="48"/>
      <c r="BC9" s="116"/>
      <c r="BD9" s="116"/>
      <c r="BE9" s="48"/>
    </row>
    <row r="10" spans="1:57" ht="19.2" customHeight="1" thickBot="1" x14ac:dyDescent="0.3">
      <c r="A10" s="38" t="str">
        <f>IF(AND(I10&lt;&gt;"",OR(H10=1,H10=2,H10=3)),3,"")</f>
        <v/>
      </c>
      <c r="B10" s="74" t="b">
        <f t="shared" si="3"/>
        <v>0</v>
      </c>
      <c r="C10" s="184">
        <v>612</v>
      </c>
      <c r="D10" s="335" t="s">
        <v>252</v>
      </c>
      <c r="E10" s="335" t="s">
        <v>227</v>
      </c>
      <c r="F10" s="335" t="s">
        <v>227</v>
      </c>
      <c r="G10" s="335" t="s">
        <v>227</v>
      </c>
      <c r="H10" s="186"/>
      <c r="I10" s="187"/>
      <c r="J10" s="111" t="str">
        <f>IF(AND(Q10&lt;&gt;"",OR(P10=1,P10=2,P10=3)),9,"")</f>
        <v/>
      </c>
      <c r="K10" s="188" t="b">
        <f t="shared" si="4"/>
        <v>0</v>
      </c>
      <c r="L10" s="184">
        <v>618</v>
      </c>
      <c r="M10" s="335" t="s">
        <v>258</v>
      </c>
      <c r="N10" s="335">
        <v>618</v>
      </c>
      <c r="O10" s="335" t="s">
        <v>258</v>
      </c>
      <c r="P10" s="186"/>
      <c r="Q10" s="187"/>
      <c r="R10" s="71" t="str">
        <f>IF(AND(Y10&lt;&gt;"",OR(X10=1,X10=2,X10=3)),27,"")</f>
        <v/>
      </c>
      <c r="S10" s="188" t="b">
        <f t="shared" si="5"/>
        <v>0</v>
      </c>
      <c r="T10" s="184">
        <v>642</v>
      </c>
      <c r="U10" s="335" t="s">
        <v>275</v>
      </c>
      <c r="V10" s="335">
        <v>642</v>
      </c>
      <c r="W10" s="335" t="s">
        <v>275</v>
      </c>
      <c r="X10" s="186"/>
      <c r="Y10" s="187"/>
      <c r="Z10" s="111" t="str">
        <f>IF(AND(AG10&lt;&gt;"",OR(AF10=1,AF10=2,AF10=3)),33,"")</f>
        <v/>
      </c>
      <c r="AA10" s="188" t="b">
        <f t="shared" si="6"/>
        <v>0</v>
      </c>
      <c r="AB10" s="184">
        <v>648</v>
      </c>
      <c r="AC10" s="339" t="s">
        <v>281</v>
      </c>
      <c r="AD10" s="340">
        <v>648</v>
      </c>
      <c r="AE10" s="341" t="s">
        <v>281</v>
      </c>
      <c r="AF10" s="185"/>
      <c r="AG10" s="187"/>
      <c r="AH10" s="353"/>
      <c r="AI10" s="354"/>
      <c r="AJ10" s="354"/>
      <c r="AK10" s="100"/>
      <c r="AL10" s="56" t="str">
        <f t="shared" si="2"/>
        <v/>
      </c>
      <c r="AM10" s="1">
        <v>3</v>
      </c>
      <c r="AU10" s="56">
        <v>6</v>
      </c>
      <c r="AV10">
        <v>615</v>
      </c>
      <c r="AW10" t="s">
        <v>255</v>
      </c>
      <c r="AX10" s="84">
        <f t="shared" si="0"/>
        <v>0</v>
      </c>
      <c r="AY10" s="84">
        <f t="shared" si="1"/>
        <v>0</v>
      </c>
      <c r="AZ10" s="48"/>
      <c r="BC10" s="116"/>
      <c r="BD10" s="116"/>
      <c r="BE10" s="48"/>
    </row>
    <row r="11" spans="1:57" ht="19.2" customHeight="1" thickBot="1" x14ac:dyDescent="0.3">
      <c r="A11" s="38" t="str">
        <f>IF(AND(I11&lt;&gt;"",OR(H11=1,H11=2,H11=3)),4,"")</f>
        <v/>
      </c>
      <c r="B11" s="74" t="b">
        <f t="shared" si="3"/>
        <v>0</v>
      </c>
      <c r="C11" s="184">
        <v>613</v>
      </c>
      <c r="D11" s="335" t="s">
        <v>253</v>
      </c>
      <c r="E11" s="335" t="s">
        <v>228</v>
      </c>
      <c r="F11" s="335" t="s">
        <v>228</v>
      </c>
      <c r="G11" s="335" t="s">
        <v>228</v>
      </c>
      <c r="H11" s="186"/>
      <c r="I11" s="187"/>
      <c r="J11" s="111" t="str">
        <f>IF(AND(Q11&lt;&gt;"",OR(P11=1,P11=2,P11=3)),10,"")</f>
        <v/>
      </c>
      <c r="K11" s="188" t="b">
        <f t="shared" si="4"/>
        <v>0</v>
      </c>
      <c r="L11" s="184">
        <v>619</v>
      </c>
      <c r="M11" s="335" t="s">
        <v>259</v>
      </c>
      <c r="N11" s="335">
        <v>619</v>
      </c>
      <c r="O11" s="335" t="s">
        <v>259</v>
      </c>
      <c r="P11" s="186"/>
      <c r="Q11" s="187"/>
      <c r="R11" s="71" t="str">
        <f>IF(AND(Y11&lt;&gt;"",OR(X11=1,X11=2,X11=3)),28,"")</f>
        <v/>
      </c>
      <c r="S11" s="188" t="b">
        <f t="shared" si="5"/>
        <v>0</v>
      </c>
      <c r="T11" s="184">
        <v>643</v>
      </c>
      <c r="U11" s="335" t="s">
        <v>276</v>
      </c>
      <c r="V11" s="335">
        <v>643</v>
      </c>
      <c r="W11" s="335" t="s">
        <v>276</v>
      </c>
      <c r="X11" s="186"/>
      <c r="Y11" s="187"/>
      <c r="Z11" s="111" t="str">
        <f>IF(AND(AG11&lt;&gt;"",OR(AF11=1,AF11=2,AF11=3)),34,"")</f>
        <v/>
      </c>
      <c r="AA11" s="188" t="b">
        <f t="shared" si="6"/>
        <v>0</v>
      </c>
      <c r="AB11" s="184">
        <v>649</v>
      </c>
      <c r="AC11" s="339" t="s">
        <v>282</v>
      </c>
      <c r="AD11" s="340">
        <v>649</v>
      </c>
      <c r="AE11" s="341" t="s">
        <v>282</v>
      </c>
      <c r="AF11" s="185"/>
      <c r="AG11" s="187"/>
      <c r="AH11" s="353"/>
      <c r="AI11" s="354"/>
      <c r="AJ11" s="354"/>
      <c r="AK11" s="100"/>
      <c r="AL11" s="56" t="str">
        <f t="shared" si="2"/>
        <v/>
      </c>
      <c r="AM11" s="1">
        <v>4</v>
      </c>
      <c r="AU11" s="56">
        <v>7</v>
      </c>
      <c r="AV11">
        <v>616</v>
      </c>
      <c r="AW11" t="s">
        <v>256</v>
      </c>
      <c r="AX11" s="59">
        <f>P8</f>
        <v>0</v>
      </c>
      <c r="AY11" s="84">
        <f>Q8</f>
        <v>0</v>
      </c>
      <c r="AZ11" s="48"/>
      <c r="BC11" s="49"/>
      <c r="BD11" s="49"/>
      <c r="BE11" s="48"/>
    </row>
    <row r="12" spans="1:57" ht="19.2" customHeight="1" thickBot="1" x14ac:dyDescent="0.3">
      <c r="A12" s="38" t="str">
        <f>IF(AND(I12&lt;&gt;"",OR(H12=1,H12=2,H12=3)),5,"")</f>
        <v/>
      </c>
      <c r="B12" s="74" t="b">
        <f t="shared" si="3"/>
        <v>0</v>
      </c>
      <c r="C12" s="184">
        <v>614</v>
      </c>
      <c r="D12" s="335" t="s">
        <v>254</v>
      </c>
      <c r="E12" s="335"/>
      <c r="F12" s="335"/>
      <c r="G12" s="335"/>
      <c r="H12" s="186"/>
      <c r="I12" s="187"/>
      <c r="J12" s="111" t="str">
        <f>IF(AND(Q12&lt;&gt;"",OR(P12=1,P12=2,P12=3)),11,"")</f>
        <v/>
      </c>
      <c r="K12" s="188" t="b">
        <f t="shared" si="4"/>
        <v>0</v>
      </c>
      <c r="L12" s="184">
        <v>620</v>
      </c>
      <c r="M12" s="335" t="s">
        <v>260</v>
      </c>
      <c r="N12" s="335">
        <v>620</v>
      </c>
      <c r="O12" s="335" t="s">
        <v>260</v>
      </c>
      <c r="P12" s="186"/>
      <c r="Q12" s="187"/>
      <c r="R12" s="71" t="str">
        <f>IF(AND(Y12&lt;&gt;"",OR(X12=1,X12=2,X12=3)),29,"")</f>
        <v/>
      </c>
      <c r="S12" s="188" t="b">
        <f t="shared" si="5"/>
        <v>0</v>
      </c>
      <c r="T12" s="184">
        <v>644</v>
      </c>
      <c r="U12" s="335" t="s">
        <v>277</v>
      </c>
      <c r="V12" s="335">
        <v>644</v>
      </c>
      <c r="W12" s="335" t="s">
        <v>277</v>
      </c>
      <c r="X12" s="186"/>
      <c r="Y12" s="187"/>
      <c r="Z12" s="111" t="str">
        <f>IF(AND(AG12&lt;&gt;"",OR(AF12=1,AF12=2,AF12=3)),35,"")</f>
        <v/>
      </c>
      <c r="AA12" s="188" t="b">
        <f t="shared" si="6"/>
        <v>0</v>
      </c>
      <c r="AB12" s="184">
        <v>650</v>
      </c>
      <c r="AC12" s="339" t="s">
        <v>283</v>
      </c>
      <c r="AD12" s="340">
        <v>650</v>
      </c>
      <c r="AE12" s="341" t="s">
        <v>283</v>
      </c>
      <c r="AF12" s="185"/>
      <c r="AG12" s="187"/>
      <c r="AH12" s="349"/>
      <c r="AI12" s="349"/>
      <c r="AJ12" s="349"/>
      <c r="AK12" s="100"/>
      <c r="AL12" s="56" t="str">
        <f t="shared" si="2"/>
        <v/>
      </c>
      <c r="AM12" s="1">
        <v>5</v>
      </c>
      <c r="AU12" s="56">
        <v>8</v>
      </c>
      <c r="AV12">
        <v>617</v>
      </c>
      <c r="AW12" t="s">
        <v>257</v>
      </c>
      <c r="AX12" s="59">
        <f t="shared" ref="AX12:AX15" si="7">P9</f>
        <v>0</v>
      </c>
      <c r="AY12" s="84">
        <f t="shared" ref="AY12:AY15" si="8">Q9</f>
        <v>0</v>
      </c>
      <c r="AZ12" s="48"/>
      <c r="BC12" s="48"/>
      <c r="BD12" s="48"/>
    </row>
    <row r="13" spans="1:57" ht="19.2" customHeight="1" thickBot="1" x14ac:dyDescent="0.3">
      <c r="A13" s="38" t="str">
        <f>IF(AND(I13&lt;&gt;"",OR(H13=1,H13=2,H13=3)),6,"")</f>
        <v/>
      </c>
      <c r="B13" s="74" t="b">
        <f t="shared" si="3"/>
        <v>0</v>
      </c>
      <c r="C13" s="184">
        <v>615</v>
      </c>
      <c r="D13" s="335" t="s">
        <v>255</v>
      </c>
      <c r="E13" s="335"/>
      <c r="F13" s="335"/>
      <c r="G13" s="335"/>
      <c r="H13" s="186"/>
      <c r="I13" s="187"/>
      <c r="J13" s="111" t="str">
        <f>IF(AND(Q13&lt;&gt;"",OR(P13=1,P13=2,P13=3)),12,"")</f>
        <v/>
      </c>
      <c r="K13" s="188" t="b">
        <f t="shared" si="4"/>
        <v>0</v>
      </c>
      <c r="L13" s="184">
        <v>621</v>
      </c>
      <c r="M13" s="335" t="s">
        <v>261</v>
      </c>
      <c r="N13" s="335">
        <v>621</v>
      </c>
      <c r="O13" s="335" t="s">
        <v>261</v>
      </c>
      <c r="P13" s="186"/>
      <c r="Q13" s="187"/>
      <c r="R13" s="71" t="str">
        <f>IF(AND(Y13&lt;&gt;"",OR(X13=1,X13=2,X13=3)),30,"")</f>
        <v/>
      </c>
      <c r="S13" s="188" t="b">
        <f t="shared" si="5"/>
        <v>0</v>
      </c>
      <c r="T13" s="184">
        <v>645</v>
      </c>
      <c r="U13" s="335" t="s">
        <v>278</v>
      </c>
      <c r="V13" s="335">
        <v>645</v>
      </c>
      <c r="W13" s="335" t="s">
        <v>278</v>
      </c>
      <c r="X13" s="186"/>
      <c r="Y13" s="187"/>
      <c r="Z13" s="111" t="str">
        <f>IF(AND(AG13&lt;&gt;"",OR(AF13=1,AF13=2,AF13=3)),36,"")</f>
        <v/>
      </c>
      <c r="AA13" s="188" t="b">
        <f t="shared" si="6"/>
        <v>0</v>
      </c>
      <c r="AB13" s="184">
        <v>651</v>
      </c>
      <c r="AC13" s="339" t="s">
        <v>284</v>
      </c>
      <c r="AD13" s="340">
        <v>651</v>
      </c>
      <c r="AE13" s="341" t="s">
        <v>284</v>
      </c>
      <c r="AF13" s="185"/>
      <c r="AG13" s="187"/>
      <c r="AH13" s="349"/>
      <c r="AI13" s="349"/>
      <c r="AJ13" s="349"/>
      <c r="AK13" s="100"/>
      <c r="AL13" s="56" t="str">
        <f t="shared" si="2"/>
        <v/>
      </c>
      <c r="AM13" s="1">
        <v>6</v>
      </c>
      <c r="AU13" s="56">
        <v>9</v>
      </c>
      <c r="AV13">
        <v>618</v>
      </c>
      <c r="AW13" t="s">
        <v>258</v>
      </c>
      <c r="AX13" s="59">
        <f t="shared" si="7"/>
        <v>0</v>
      </c>
      <c r="AY13" s="84">
        <f t="shared" si="8"/>
        <v>0</v>
      </c>
      <c r="AZ13" s="48"/>
      <c r="BC13" s="49"/>
      <c r="BD13" s="49"/>
    </row>
    <row r="14" spans="1:57" ht="15.75" customHeight="1" thickBot="1" x14ac:dyDescent="0.3">
      <c r="A14" s="348"/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105"/>
      <c r="R14" s="71"/>
      <c r="S14" s="74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105"/>
      <c r="AH14" s="349"/>
      <c r="AI14" s="349"/>
      <c r="AJ14" s="349"/>
      <c r="AK14" s="100"/>
      <c r="AL14" s="56" t="str">
        <f>IF(J8&lt;&gt;"",J8,"")</f>
        <v/>
      </c>
      <c r="AM14" s="1">
        <v>7</v>
      </c>
      <c r="AU14" s="56">
        <v>10</v>
      </c>
      <c r="AV14">
        <v>619</v>
      </c>
      <c r="AW14" t="s">
        <v>259</v>
      </c>
      <c r="AX14" s="59">
        <f t="shared" si="7"/>
        <v>0</v>
      </c>
      <c r="AY14" s="84">
        <f t="shared" si="8"/>
        <v>0</v>
      </c>
      <c r="AZ14" s="48"/>
      <c r="BC14" s="49"/>
      <c r="BD14" s="49"/>
    </row>
    <row r="15" spans="1:57" ht="24" hidden="1" customHeight="1" thickBot="1" x14ac:dyDescent="0.3">
      <c r="A15" s="38" t="str">
        <f>IF(AND(I15&lt;&gt;"",H15=1),7,"")</f>
        <v/>
      </c>
      <c r="B15" s="74">
        <f>SUM(B8:B13)</f>
        <v>0</v>
      </c>
      <c r="C15" s="77"/>
      <c r="D15" s="78"/>
      <c r="E15" s="78"/>
      <c r="F15" s="78"/>
      <c r="G15" s="78">
        <f>COUNTIFS(I8:I13,"ج",H8:H13,1)</f>
        <v>0</v>
      </c>
      <c r="H15" s="75">
        <f>COUNTIFS(I8:I13,"ر1",H8:H13,1)</f>
        <v>0</v>
      </c>
      <c r="I15" s="39">
        <f>COUNTIFS(I8:I13,"ر2",H8:H13,1)</f>
        <v>0</v>
      </c>
      <c r="J15" s="104"/>
      <c r="K15" s="27">
        <f>SUM(K8:K13)</f>
        <v>0</v>
      </c>
      <c r="L15" s="28"/>
      <c r="M15" s="36"/>
      <c r="N15" s="36"/>
      <c r="O15" s="78">
        <f>COUNTIFS(Q8:Q13,"ج",P8:P13,1)</f>
        <v>0</v>
      </c>
      <c r="P15" s="75">
        <f>COUNTIFS(Q8:Q13,"ر1",P8:P13,1)</f>
        <v>0</v>
      </c>
      <c r="Q15" s="39">
        <f>COUNTIFS(Q8:Q13,"ر2",P8:P13,1)</f>
        <v>0</v>
      </c>
      <c r="R15" s="71"/>
      <c r="S15" s="74">
        <f>SUM(S8:S13)</f>
        <v>0</v>
      </c>
      <c r="T15" s="30"/>
      <c r="U15" s="31"/>
      <c r="V15" s="31"/>
      <c r="W15" s="78">
        <f>COUNTIFS(Y8:Y13,"ج",X8:X13,1)</f>
        <v>0</v>
      </c>
      <c r="X15" s="75">
        <f>COUNTIFS(Y8:Y13,"ر1",X8:X13,1)</f>
        <v>0</v>
      </c>
      <c r="Y15" s="39">
        <f>COUNTIFS(Y8:Y13,"ر2",X8:X13,1)</f>
        <v>0</v>
      </c>
      <c r="Z15" s="112"/>
      <c r="AA15" s="32">
        <f>SUM(AA8:AA13)</f>
        <v>0</v>
      </c>
      <c r="AB15" s="31"/>
      <c r="AC15" s="31"/>
      <c r="AD15" s="31"/>
      <c r="AE15" s="78">
        <f>COUNTIFS(AG8:AG13,"ج",AF8:AF13,1)</f>
        <v>0</v>
      </c>
      <c r="AF15" s="75">
        <f>COUNTIFS(AG8:AG13,"ر1",AF8:AF13,1)</f>
        <v>0</v>
      </c>
      <c r="AG15" s="39">
        <f>COUNTIFS(AG8:AG13,"ر2",AF8:AF13,1)</f>
        <v>0</v>
      </c>
      <c r="AH15" s="349"/>
      <c r="AI15" s="349"/>
      <c r="AJ15" s="349"/>
      <c r="AK15" s="100"/>
      <c r="AL15" s="56" t="str">
        <f t="shared" ref="AL15:AL19" si="9">IF(J9&lt;&gt;"",J9,"")</f>
        <v/>
      </c>
      <c r="AM15" s="1">
        <v>8</v>
      </c>
      <c r="AU15" s="56">
        <v>11</v>
      </c>
      <c r="AV15">
        <v>620</v>
      </c>
      <c r="AW15" t="s">
        <v>260</v>
      </c>
      <c r="AX15" s="59">
        <f t="shared" si="7"/>
        <v>0</v>
      </c>
      <c r="AY15" s="84">
        <f t="shared" si="8"/>
        <v>0</v>
      </c>
      <c r="AZ15" s="48"/>
      <c r="BA15"/>
      <c r="BC15" s="49"/>
      <c r="BD15" s="49"/>
    </row>
    <row r="16" spans="1:57" ht="21.6" thickBot="1" x14ac:dyDescent="0.3">
      <c r="A16" s="38"/>
      <c r="B16" s="346" t="s">
        <v>21</v>
      </c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7"/>
      <c r="R16" s="71"/>
      <c r="S16" s="115"/>
      <c r="T16" s="350" t="s">
        <v>22</v>
      </c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9"/>
      <c r="AI16" s="349"/>
      <c r="AJ16" s="349"/>
      <c r="AK16" s="100"/>
      <c r="AL16" s="56" t="str">
        <f t="shared" si="9"/>
        <v/>
      </c>
      <c r="AM16" s="1">
        <v>9</v>
      </c>
      <c r="AU16" s="56">
        <v>12</v>
      </c>
      <c r="AV16">
        <v>621</v>
      </c>
      <c r="AW16" t="s">
        <v>261</v>
      </c>
      <c r="AX16" s="59">
        <f t="shared" ref="AX16" si="10">P13</f>
        <v>0</v>
      </c>
      <c r="AY16" s="84">
        <f t="shared" ref="AY16" si="11">Q13</f>
        <v>0</v>
      </c>
      <c r="AZ16" s="48"/>
      <c r="BC16" s="49"/>
      <c r="BD16" s="49"/>
    </row>
    <row r="17" spans="1:57" ht="19.2" customHeight="1" thickBot="1" x14ac:dyDescent="0.3">
      <c r="A17" s="38" t="str">
        <f>IF(AND(I17&lt;&gt;"",OR(H17=1,H17=2,H17=3)),13,"")</f>
        <v/>
      </c>
      <c r="B17" s="74" t="b">
        <f t="shared" ref="B17:B22" si="12">IF(AND(I17="A",H17=1),50000,IF(OR(I17="ج",I17="ر1",I17="ر2"),IF(H17=1,IF(OR($F$5=$AO$8,$F$5=$AO$9),0,IF(OR($F$5=$AO$1,$F$5=$AO$2,$F$5=$AO$5,$F$5=$AO$6),IF(I17="ج",20000,IF(I17="ر1",28000,IF(I17="ر2",36000,""))),IF(OR($F$5=$AO$3,$F$5=$AO$7),IF(I17="ج",12500,IF(I17="ر1",17500,IF(I17="ر2",22500,""))),IF($F$5=$AO$4,500,IF(I17="ج",25000,IF(I17="ر1",35000,IF(I17="ر2",45000,""))))))))))</f>
        <v>0</v>
      </c>
      <c r="C17" s="184">
        <v>622</v>
      </c>
      <c r="D17" s="335" t="s">
        <v>262</v>
      </c>
      <c r="E17" s="335" t="s">
        <v>233</v>
      </c>
      <c r="F17" s="335" t="s">
        <v>233</v>
      </c>
      <c r="G17" s="335" t="s">
        <v>233</v>
      </c>
      <c r="H17" s="185"/>
      <c r="I17" s="187"/>
      <c r="J17" s="111" t="str">
        <f>IF(AND(Q17&lt;&gt;"",OR(P17=1,P17=2,P17=3)),19,"")</f>
        <v/>
      </c>
      <c r="K17" s="188" t="b">
        <f t="shared" ref="K17:K22" si="13">IF(AND(Q17="A",P17=1),50000,IF(OR(Q17="ج",Q17="ر1",Q17="ر2"),IF(P17=1,IF(OR($F$5=$AO$8,$F$5=$AO$9),0,IF(OR($F$5=$AO$1,$F$5=$AO$2,$F$5=$AO$5,$F$5=$AO$6),IF(Q17="ج",20000,IF(Q17="ر1",28000,IF(Q17="ر2",36000,""))),IF(OR($F$5=$AO$3,$F$5=$AO$7),IF(Q17="ج",12500,IF(Q17="ر1",17500,IF(Q17="ر2",22500,""))),IF($F$5=$AO$4,500,IF(Q17="ج",25000,IF(Q17="ر1",35000,IF(Q17="ر2",45000,""))))))))))</f>
        <v>0</v>
      </c>
      <c r="L17" s="184">
        <v>628</v>
      </c>
      <c r="M17" s="335" t="s">
        <v>268</v>
      </c>
      <c r="N17" s="335">
        <v>628</v>
      </c>
      <c r="O17" s="335" t="s">
        <v>268</v>
      </c>
      <c r="P17" s="185"/>
      <c r="Q17" s="187"/>
      <c r="R17" s="71" t="str">
        <f>IF(AND(Y17&lt;&gt;"",OR(X17=1,X17=2,X17=3)),37,"")</f>
        <v/>
      </c>
      <c r="S17" s="188" t="b">
        <f t="shared" ref="S17:S22" si="14">IF(AND(Y17="A",X17=1),50000,IF(OR(Y17="ج",Y17="ر1",Y17="ر2"),IF(X17=1,IF(OR($F$5=$AO$8,$F$5=$AO$9),0,IF(OR($F$5=$AO$1,$F$5=$AO$2,$F$5=$AO$5,$F$5=$AO$6),IF(Y17="ج",20000,IF(Y17="ر1",28000,IF(Y17="ر2",36000,""))),IF(OR($F$5=$AO$3,$F$5=$AO$7),IF(Y17="ج",12500,IF(Y17="ر1",17500,IF(Y17="ر2",22500,""))),IF($F$5=$AO$4,500,IF(Y17="ج",25000,IF(Y17="ر1",35000,IF(Y17="ر2",45000,""))))))))))</f>
        <v>0</v>
      </c>
      <c r="T17" s="184">
        <v>660</v>
      </c>
      <c r="U17" s="335" t="s">
        <v>285</v>
      </c>
      <c r="V17" s="335">
        <v>660</v>
      </c>
      <c r="W17" s="335" t="s">
        <v>285</v>
      </c>
      <c r="X17" s="185"/>
      <c r="Y17" s="187"/>
      <c r="Z17" s="111" t="str">
        <f>IF(AND(AG17&lt;&gt;"",OR(AF17=1,AF17=2,AF17=3)),43,"")</f>
        <v/>
      </c>
      <c r="AA17" s="188" t="b">
        <f t="shared" ref="AA17:AA22" si="15">IF(AND(AG17="A",AF17=1),50000,IF(OR(AG17="ج",AG17="ر1",AG17="ر2"),IF(AF17=1,IF(OR($F$5=$AO$8,$F$5=$AO$9),0,IF(OR($F$5=$AO$1,$F$5=$AO$2,$F$5=$AO$5,$F$5=$AO$6),IF(AG17="ج",20000,IF(AG17="ر1",28000,IF(AG17="ر2",36000,""))),IF(OR($F$5=$AO$3,$F$5=$AO$7),IF(AG17="ج",12500,IF(AG17="ر1",17500,IF(AG17="ر2",22500,""))),IF($F$5=$AO$4,500,IF(AG17="ج",25000,IF(AG17="ر1",35000,IF(AG17="ر2",45000,""))))))))))</f>
        <v>0</v>
      </c>
      <c r="AB17" s="184">
        <v>666</v>
      </c>
      <c r="AC17" s="339" t="s">
        <v>291</v>
      </c>
      <c r="AD17" s="340">
        <v>666</v>
      </c>
      <c r="AE17" s="341" t="s">
        <v>291</v>
      </c>
      <c r="AF17" s="185"/>
      <c r="AG17" s="187"/>
      <c r="AH17" s="349"/>
      <c r="AI17" s="349"/>
      <c r="AJ17" s="349"/>
      <c r="AK17" s="100"/>
      <c r="AL17" s="56" t="str">
        <f t="shared" si="9"/>
        <v/>
      </c>
      <c r="AM17" s="1">
        <v>10</v>
      </c>
      <c r="AU17" s="56">
        <v>13</v>
      </c>
      <c r="AV17">
        <v>622</v>
      </c>
      <c r="AW17" t="s">
        <v>262</v>
      </c>
      <c r="AX17" s="84">
        <f>H17</f>
        <v>0</v>
      </c>
      <c r="AY17" s="84">
        <f>I17</f>
        <v>0</v>
      </c>
      <c r="AZ17" s="48"/>
      <c r="BC17" s="49"/>
      <c r="BD17" s="49"/>
      <c r="BE17" s="48"/>
    </row>
    <row r="18" spans="1:57" ht="19.2" customHeight="1" thickBot="1" x14ac:dyDescent="0.3">
      <c r="A18" s="38" t="str">
        <f>IF(AND(I18&lt;&gt;"",OR(H18=1,H18=2,H18=3)),14,"")</f>
        <v/>
      </c>
      <c r="B18" s="74" t="b">
        <f t="shared" si="12"/>
        <v>0</v>
      </c>
      <c r="C18" s="184">
        <v>623</v>
      </c>
      <c r="D18" s="335" t="s">
        <v>263</v>
      </c>
      <c r="E18" s="335" t="s">
        <v>234</v>
      </c>
      <c r="F18" s="335" t="s">
        <v>234</v>
      </c>
      <c r="G18" s="335" t="s">
        <v>234</v>
      </c>
      <c r="H18" s="186"/>
      <c r="I18" s="187"/>
      <c r="J18" s="111" t="str">
        <f>IF(AND(Q18&lt;&gt;"",OR(P18=1,P18=2,P18=3)),20,"")</f>
        <v/>
      </c>
      <c r="K18" s="188" t="b">
        <f t="shared" si="13"/>
        <v>0</v>
      </c>
      <c r="L18" s="184">
        <v>629</v>
      </c>
      <c r="M18" s="335" t="s">
        <v>235</v>
      </c>
      <c r="N18" s="335">
        <v>629</v>
      </c>
      <c r="O18" s="335" t="s">
        <v>235</v>
      </c>
      <c r="P18" s="186"/>
      <c r="Q18" s="187"/>
      <c r="R18" s="71" t="str">
        <f>IF(AND(Y18&lt;&gt;"",OR(X18=1,X18=2,X18=3)),38,"")</f>
        <v/>
      </c>
      <c r="S18" s="188" t="b">
        <f t="shared" si="14"/>
        <v>0</v>
      </c>
      <c r="T18" s="184">
        <v>661</v>
      </c>
      <c r="U18" s="335" t="s">
        <v>286</v>
      </c>
      <c r="V18" s="335">
        <v>661</v>
      </c>
      <c r="W18" s="335" t="s">
        <v>286</v>
      </c>
      <c r="X18" s="185"/>
      <c r="Y18" s="187"/>
      <c r="Z18" s="111" t="str">
        <f>IF(AND(AG18&lt;&gt;"",OR(AF18=1,AF18=2,AF18=3)),44,"")</f>
        <v/>
      </c>
      <c r="AA18" s="188" t="b">
        <f t="shared" si="15"/>
        <v>0</v>
      </c>
      <c r="AB18" s="184">
        <v>667</v>
      </c>
      <c r="AC18" s="339" t="s">
        <v>292</v>
      </c>
      <c r="AD18" s="340">
        <v>667</v>
      </c>
      <c r="AE18" s="341" t="s">
        <v>292</v>
      </c>
      <c r="AF18" s="185"/>
      <c r="AG18" s="187"/>
      <c r="AH18" s="349"/>
      <c r="AI18" s="349"/>
      <c r="AJ18" s="349"/>
      <c r="AK18" s="100"/>
      <c r="AL18" s="56" t="str">
        <f t="shared" si="9"/>
        <v/>
      </c>
      <c r="AM18" s="1">
        <v>11</v>
      </c>
      <c r="AU18" s="56">
        <v>14</v>
      </c>
      <c r="AV18">
        <v>623</v>
      </c>
      <c r="AW18" t="s">
        <v>263</v>
      </c>
      <c r="AX18" s="84">
        <f t="shared" ref="AX18:AX22" si="16">H18</f>
        <v>0</v>
      </c>
      <c r="AY18" s="84">
        <f t="shared" ref="AY18:AY22" si="17">I18</f>
        <v>0</v>
      </c>
      <c r="AZ18" s="48"/>
      <c r="BC18" s="116"/>
      <c r="BD18" s="116"/>
      <c r="BE18" s="48"/>
    </row>
    <row r="19" spans="1:57" ht="19.2" customHeight="1" thickBot="1" x14ac:dyDescent="0.3">
      <c r="A19" s="38" t="str">
        <f>IF(AND(I19&lt;&gt;"",OR(H19=1,H19=2,H19=3)),15,"")</f>
        <v/>
      </c>
      <c r="B19" s="74" t="b">
        <f t="shared" si="12"/>
        <v>0</v>
      </c>
      <c r="C19" s="184">
        <v>624</v>
      </c>
      <c r="D19" s="335" t="s">
        <v>264</v>
      </c>
      <c r="E19" s="335" t="s">
        <v>235</v>
      </c>
      <c r="F19" s="335" t="s">
        <v>235</v>
      </c>
      <c r="G19" s="335" t="s">
        <v>235</v>
      </c>
      <c r="H19" s="186"/>
      <c r="I19" s="187"/>
      <c r="J19" s="111" t="str">
        <f>IF(AND(Q19&lt;&gt;"",OR(P19=1,P19=2,P19=3)),21,"")</f>
        <v/>
      </c>
      <c r="K19" s="188" t="b">
        <f t="shared" si="13"/>
        <v>0</v>
      </c>
      <c r="L19" s="184">
        <v>630</v>
      </c>
      <c r="M19" s="335" t="s">
        <v>269</v>
      </c>
      <c r="N19" s="335">
        <v>630</v>
      </c>
      <c r="O19" s="335" t="s">
        <v>269</v>
      </c>
      <c r="P19" s="186"/>
      <c r="Q19" s="187"/>
      <c r="R19" s="71" t="str">
        <f>IF(AND(Y19&lt;&gt;"",OR(X19=1,X19=2,X19=3)),39,"")</f>
        <v/>
      </c>
      <c r="S19" s="188" t="b">
        <f t="shared" si="14"/>
        <v>0</v>
      </c>
      <c r="T19" s="184">
        <v>662</v>
      </c>
      <c r="U19" s="335" t="s">
        <v>287</v>
      </c>
      <c r="V19" s="335">
        <v>662</v>
      </c>
      <c r="W19" s="335" t="s">
        <v>287</v>
      </c>
      <c r="X19" s="185"/>
      <c r="Y19" s="187"/>
      <c r="Z19" s="111" t="str">
        <f>IF(AND(AG19&lt;&gt;"",OR(AF19=1,AF19=2,AF19=3)),45,"")</f>
        <v/>
      </c>
      <c r="AA19" s="188" t="b">
        <f t="shared" si="15"/>
        <v>0</v>
      </c>
      <c r="AB19" s="184">
        <v>668</v>
      </c>
      <c r="AC19" s="339" t="s">
        <v>293</v>
      </c>
      <c r="AD19" s="340">
        <v>668</v>
      </c>
      <c r="AE19" s="341" t="s">
        <v>293</v>
      </c>
      <c r="AF19" s="185"/>
      <c r="AG19" s="187"/>
      <c r="AH19" s="349"/>
      <c r="AI19" s="349"/>
      <c r="AJ19" s="349"/>
      <c r="AK19" s="100"/>
      <c r="AL19" s="56" t="str">
        <f t="shared" si="9"/>
        <v/>
      </c>
      <c r="AM19" s="1">
        <v>12</v>
      </c>
      <c r="AU19" s="56">
        <v>15</v>
      </c>
      <c r="AV19">
        <v>624</v>
      </c>
      <c r="AW19" t="s">
        <v>264</v>
      </c>
      <c r="AX19" s="84">
        <f t="shared" si="16"/>
        <v>0</v>
      </c>
      <c r="AY19" s="84">
        <f t="shared" si="17"/>
        <v>0</v>
      </c>
      <c r="AZ19" s="48"/>
      <c r="BC19" s="116"/>
      <c r="BD19" s="116"/>
      <c r="BE19" s="49"/>
    </row>
    <row r="20" spans="1:57" ht="19.2" customHeight="1" thickBot="1" x14ac:dyDescent="0.35">
      <c r="A20" s="38" t="str">
        <f>IF(AND(I20&lt;&gt;"",OR(H20=1,H20=2,H20=3)),16,"")</f>
        <v/>
      </c>
      <c r="B20" s="74" t="b">
        <f t="shared" si="12"/>
        <v>0</v>
      </c>
      <c r="C20" s="184">
        <v>625</v>
      </c>
      <c r="D20" s="335" t="s">
        <v>265</v>
      </c>
      <c r="E20" s="335" t="s">
        <v>236</v>
      </c>
      <c r="F20" s="335" t="s">
        <v>236</v>
      </c>
      <c r="G20" s="335" t="s">
        <v>236</v>
      </c>
      <c r="H20" s="186"/>
      <c r="I20" s="187"/>
      <c r="J20" s="111" t="str">
        <f>IF(AND(Q20&lt;&gt;"",OR(P20=1,P20=2,P20=3)),22,"")</f>
        <v/>
      </c>
      <c r="K20" s="188" t="b">
        <f t="shared" si="13"/>
        <v>0</v>
      </c>
      <c r="L20" s="184">
        <v>631</v>
      </c>
      <c r="M20" s="335" t="s">
        <v>270</v>
      </c>
      <c r="N20" s="335">
        <v>631</v>
      </c>
      <c r="O20" s="335" t="s">
        <v>270</v>
      </c>
      <c r="P20" s="186"/>
      <c r="Q20" s="187"/>
      <c r="R20" s="71" t="str">
        <f>IF(AND(Y20&lt;&gt;"",OR(X20=1,X20=2,X20=3)),40,"")</f>
        <v/>
      </c>
      <c r="S20" s="188" t="b">
        <f t="shared" si="14"/>
        <v>0</v>
      </c>
      <c r="T20" s="184">
        <v>663</v>
      </c>
      <c r="U20" s="335" t="s">
        <v>288</v>
      </c>
      <c r="V20" s="335">
        <v>663</v>
      </c>
      <c r="W20" s="335" t="s">
        <v>288</v>
      </c>
      <c r="X20" s="185"/>
      <c r="Y20" s="187"/>
      <c r="Z20" s="111" t="str">
        <f>IF(AND(AG20&lt;&gt;"",OR(AF20=1,AF20=2,AF20=3)),46,"")</f>
        <v/>
      </c>
      <c r="AA20" s="188" t="b">
        <f t="shared" si="15"/>
        <v>0</v>
      </c>
      <c r="AB20" s="184">
        <v>669</v>
      </c>
      <c r="AC20" s="339" t="s">
        <v>294</v>
      </c>
      <c r="AD20" s="340">
        <v>669</v>
      </c>
      <c r="AE20" s="341" t="s">
        <v>294</v>
      </c>
      <c r="AF20" s="185"/>
      <c r="AG20" s="187"/>
      <c r="AH20" s="101"/>
      <c r="AI20" s="101"/>
      <c r="AJ20" s="101"/>
      <c r="AK20" s="100"/>
      <c r="AL20" s="56" t="str">
        <f t="shared" ref="AL20:AL26" si="18">IF(A17&lt;&gt;"",A17,"")</f>
        <v/>
      </c>
      <c r="AM20" s="1">
        <v>13</v>
      </c>
      <c r="AU20" s="56">
        <v>16</v>
      </c>
      <c r="AV20">
        <v>625</v>
      </c>
      <c r="AW20" t="s">
        <v>265</v>
      </c>
      <c r="AX20" s="84">
        <f t="shared" si="16"/>
        <v>0</v>
      </c>
      <c r="AY20" s="84">
        <f t="shared" si="17"/>
        <v>0</v>
      </c>
      <c r="AZ20" s="49"/>
      <c r="BC20" s="50"/>
      <c r="BD20" s="50"/>
      <c r="BE20" s="49"/>
    </row>
    <row r="21" spans="1:57" ht="19.2" customHeight="1" thickBot="1" x14ac:dyDescent="0.35">
      <c r="A21" s="38" t="str">
        <f>IF(AND(I21&lt;&gt;"",OR(H21=1,H21=2,H21=3)),17,"")</f>
        <v/>
      </c>
      <c r="B21" s="74" t="b">
        <f t="shared" si="12"/>
        <v>0</v>
      </c>
      <c r="C21" s="184">
        <v>626</v>
      </c>
      <c r="D21" s="335" t="s">
        <v>266</v>
      </c>
      <c r="E21" s="335" t="s">
        <v>237</v>
      </c>
      <c r="F21" s="335" t="s">
        <v>237</v>
      </c>
      <c r="G21" s="335" t="s">
        <v>237</v>
      </c>
      <c r="H21" s="186"/>
      <c r="I21" s="187"/>
      <c r="J21" s="111" t="str">
        <f>IF(AND(Q21&lt;&gt;"",OR(P21=1,P21=2,P21=3)),23,"")</f>
        <v/>
      </c>
      <c r="K21" s="188" t="b">
        <f t="shared" si="13"/>
        <v>0</v>
      </c>
      <c r="L21" s="184">
        <v>632</v>
      </c>
      <c r="M21" s="335" t="s">
        <v>271</v>
      </c>
      <c r="N21" s="335">
        <v>632</v>
      </c>
      <c r="O21" s="335" t="s">
        <v>271</v>
      </c>
      <c r="P21" s="186"/>
      <c r="Q21" s="187"/>
      <c r="R21" s="71" t="str">
        <f>IF(AND(Y21&lt;&gt;"",OR(X21=1,X21=2,X21=3)),41,"")</f>
        <v/>
      </c>
      <c r="S21" s="188" t="b">
        <f t="shared" si="14"/>
        <v>0</v>
      </c>
      <c r="T21" s="184">
        <v>664</v>
      </c>
      <c r="U21" s="335" t="s">
        <v>289</v>
      </c>
      <c r="V21" s="335">
        <v>664</v>
      </c>
      <c r="W21" s="335" t="s">
        <v>289</v>
      </c>
      <c r="X21" s="185"/>
      <c r="Y21" s="187"/>
      <c r="Z21" s="111" t="str">
        <f>IF(AND(AG21&lt;&gt;"",OR(AF21=1,AF21=2,AF21=3)),47,"")</f>
        <v/>
      </c>
      <c r="AA21" s="188" t="b">
        <f t="shared" si="15"/>
        <v>0</v>
      </c>
      <c r="AB21" s="184">
        <v>670</v>
      </c>
      <c r="AC21" s="339" t="s">
        <v>295</v>
      </c>
      <c r="AD21" s="340">
        <v>670</v>
      </c>
      <c r="AE21" s="341" t="s">
        <v>295</v>
      </c>
      <c r="AF21" s="185"/>
      <c r="AG21" s="187"/>
      <c r="AH21" s="101"/>
      <c r="AI21" s="101"/>
      <c r="AJ21" s="101"/>
      <c r="AK21" s="100"/>
      <c r="AL21" s="56" t="str">
        <f t="shared" si="18"/>
        <v/>
      </c>
      <c r="AM21" s="1">
        <v>14</v>
      </c>
      <c r="AU21" s="56">
        <v>17</v>
      </c>
      <c r="AV21">
        <v>626</v>
      </c>
      <c r="AW21" t="s">
        <v>266</v>
      </c>
      <c r="AX21" s="84">
        <f t="shared" si="16"/>
        <v>0</v>
      </c>
      <c r="AY21" s="84">
        <f t="shared" si="17"/>
        <v>0</v>
      </c>
      <c r="AZ21" s="49"/>
      <c r="BC21" s="50"/>
      <c r="BD21" s="50"/>
      <c r="BE21" s="48"/>
    </row>
    <row r="22" spans="1:57" ht="19.2" customHeight="1" thickBot="1" x14ac:dyDescent="0.35">
      <c r="A22" s="38" t="str">
        <f>IF(AND(I22&lt;&gt;"",OR(H22=1,H22=2,H22=3)),18,"")</f>
        <v/>
      </c>
      <c r="B22" s="74" t="b">
        <f t="shared" si="12"/>
        <v>0</v>
      </c>
      <c r="C22" s="184">
        <v>627</v>
      </c>
      <c r="D22" s="335" t="s">
        <v>267</v>
      </c>
      <c r="E22" s="335" t="s">
        <v>238</v>
      </c>
      <c r="F22" s="335" t="s">
        <v>238</v>
      </c>
      <c r="G22" s="335" t="s">
        <v>238</v>
      </c>
      <c r="H22" s="186"/>
      <c r="I22" s="187"/>
      <c r="J22" s="111" t="str">
        <f>IF(AND(Q22&lt;&gt;"",OR(P22=1,P22=2,P22=3)),24,"")</f>
        <v/>
      </c>
      <c r="K22" s="188" t="b">
        <f t="shared" si="13"/>
        <v>0</v>
      </c>
      <c r="L22" s="184">
        <v>633</v>
      </c>
      <c r="M22" s="335" t="s">
        <v>272</v>
      </c>
      <c r="N22" s="335">
        <v>633</v>
      </c>
      <c r="O22" s="335" t="s">
        <v>272</v>
      </c>
      <c r="P22" s="186"/>
      <c r="Q22" s="187"/>
      <c r="R22" s="71" t="str">
        <f>IF(AND(Y22&lt;&gt;"",OR(X22=1,X22=2,X22=3)),42,"")</f>
        <v/>
      </c>
      <c r="S22" s="188" t="b">
        <f t="shared" si="14"/>
        <v>0</v>
      </c>
      <c r="T22" s="184">
        <v>665</v>
      </c>
      <c r="U22" s="335" t="s">
        <v>290</v>
      </c>
      <c r="V22" s="335">
        <v>665</v>
      </c>
      <c r="W22" s="335" t="s">
        <v>290</v>
      </c>
      <c r="X22" s="185"/>
      <c r="Y22" s="187"/>
      <c r="Z22" s="111" t="str">
        <f>IF(AND(AG22&lt;&gt;"",OR(AF22=1,AF22=2,AF22=3)),48,"")</f>
        <v/>
      </c>
      <c r="AA22" s="188" t="b">
        <f t="shared" si="15"/>
        <v>0</v>
      </c>
      <c r="AB22" s="184">
        <v>671</v>
      </c>
      <c r="AC22" s="339" t="s">
        <v>296</v>
      </c>
      <c r="AD22" s="340">
        <v>671</v>
      </c>
      <c r="AE22" s="341" t="s">
        <v>296</v>
      </c>
      <c r="AF22" s="185"/>
      <c r="AG22" s="187"/>
      <c r="AH22" s="101"/>
      <c r="AI22" s="101"/>
      <c r="AJ22" s="101"/>
      <c r="AK22" s="100"/>
      <c r="AL22" s="56" t="str">
        <f t="shared" si="18"/>
        <v/>
      </c>
      <c r="AM22" s="1">
        <v>15</v>
      </c>
      <c r="AU22" s="56">
        <v>18</v>
      </c>
      <c r="AV22">
        <v>627</v>
      </c>
      <c r="AW22" t="s">
        <v>267</v>
      </c>
      <c r="AX22" s="84">
        <f t="shared" si="16"/>
        <v>0</v>
      </c>
      <c r="AY22" s="84">
        <f t="shared" si="17"/>
        <v>0</v>
      </c>
      <c r="AZ22" s="48"/>
      <c r="BC22" s="116"/>
      <c r="BD22" s="116"/>
      <c r="BE22" s="48"/>
    </row>
    <row r="23" spans="1:57" ht="19.2" customHeight="1" thickBot="1" x14ac:dyDescent="0.35">
      <c r="A23" s="38"/>
      <c r="B23" s="74"/>
      <c r="C23" s="160"/>
      <c r="D23" s="337"/>
      <c r="E23" s="337"/>
      <c r="F23" s="337"/>
      <c r="G23" s="337"/>
      <c r="H23" s="185"/>
      <c r="I23" s="187"/>
      <c r="J23" s="111" t="str">
        <f>IF(AND(Q23&lt;&gt;"",OR(P23=1,P23=2,P23=3)),25,"")</f>
        <v/>
      </c>
      <c r="K23" s="74" t="b">
        <f t="shared" ref="K23" si="19">IF(AND(Q23="A",P23=1),50000,IF(Q23="B",IF(OR(P23=1,P23=2,P23=3),IF(OR($F$5=$AO$7,$F$5=$AO$9),0,IF(OR($F$5=$AO$3,$F$5=$AO$6),IF(P23=1,12500,IF(P23=2,17500,IF(P23=3,22500,""))),IF($F$5=$AO$4,500,IF(OR($F$5=$AO$1,$F$5=$AO$5,$F$5=$AO$8,$F$5=$AO$2),IF(P23=1,20000,IF(P23=2,28000,IF(P23=3,36000,""))),IF(P23=1,25000,IF(P23=2,35000,IF(P23=3,45000,""))))))))))</f>
        <v>0</v>
      </c>
      <c r="L23" s="160"/>
      <c r="M23" s="336"/>
      <c r="N23" s="336"/>
      <c r="O23" s="336"/>
      <c r="P23" s="83"/>
      <c r="Q23" s="161"/>
      <c r="R23" s="79"/>
      <c r="S23" s="7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7"/>
      <c r="AH23" s="101"/>
      <c r="AI23" s="101"/>
      <c r="AJ23" s="101"/>
      <c r="AK23" s="100"/>
      <c r="AL23" s="56" t="str">
        <f t="shared" si="18"/>
        <v/>
      </c>
      <c r="AM23" s="1">
        <v>16</v>
      </c>
      <c r="AU23" s="56">
        <v>19</v>
      </c>
      <c r="AV23">
        <v>628</v>
      </c>
      <c r="AW23" t="s">
        <v>268</v>
      </c>
      <c r="AX23" s="59">
        <f>P17</f>
        <v>0</v>
      </c>
      <c r="AY23" s="84">
        <f>Q17</f>
        <v>0</v>
      </c>
      <c r="AZ23" s="48"/>
      <c r="BC23" s="116"/>
      <c r="BD23" s="116"/>
      <c r="BE23" s="48"/>
    </row>
    <row r="24" spans="1:57" ht="15.6" hidden="1" x14ac:dyDescent="0.3">
      <c r="A24" s="38"/>
      <c r="B24" s="74">
        <f>SUM(B17:B22)</f>
        <v>0</v>
      </c>
      <c r="C24" s="43"/>
      <c r="D24" s="44"/>
      <c r="E24" s="44"/>
      <c r="F24" s="44"/>
      <c r="G24" s="78">
        <f>COUNTIFS(I17:I22,"ج",H17:H22,1)</f>
        <v>0</v>
      </c>
      <c r="H24" s="75">
        <f>COUNTIFS(I17:I22,"ر1",H17:H22,1)</f>
        <v>0</v>
      </c>
      <c r="I24" s="39">
        <f>COUNTIFS(I17:I22,"ر2",H17:H22,1)</f>
        <v>0</v>
      </c>
      <c r="J24" s="111"/>
      <c r="K24" s="74">
        <f>SUM(K17:K22)</f>
        <v>0</v>
      </c>
      <c r="L24" s="43"/>
      <c r="M24" s="44"/>
      <c r="N24" s="44"/>
      <c r="O24" s="78">
        <f>COUNTIFS(Q17:Q22,"ج",P17:P22,1)</f>
        <v>0</v>
      </c>
      <c r="P24" s="75">
        <f>COUNTIFS(Q17:Q22,"ر1",P17:P22,1)</f>
        <v>0</v>
      </c>
      <c r="Q24" s="39">
        <f>COUNTIFS(Q17:Q22,"ر2",P17:P22,1)</f>
        <v>0</v>
      </c>
      <c r="R24" s="80"/>
      <c r="S24" s="29">
        <f>SUM(S17:S22)</f>
        <v>0</v>
      </c>
      <c r="T24" s="82"/>
      <c r="U24" s="41"/>
      <c r="V24" s="41"/>
      <c r="W24" s="78">
        <f>COUNTIFS(Y17:Y22,"ج",X17:X22,1)</f>
        <v>0</v>
      </c>
      <c r="X24" s="75">
        <f>COUNTIFS(Y17:Y22,"ر1",X17:X22,1)</f>
        <v>0</v>
      </c>
      <c r="Y24" s="39">
        <f>COUNTIFS(Y17:Y22,"ر2",X17:X22,1)</f>
        <v>0</v>
      </c>
      <c r="Z24" s="61"/>
      <c r="AA24" s="29">
        <f>SUM(AA17:AA22)</f>
        <v>0</v>
      </c>
      <c r="AB24" s="41"/>
      <c r="AC24" s="41"/>
      <c r="AD24" s="41"/>
      <c r="AE24" s="78">
        <f>COUNTIFS(AG17:AG22,"ج",AF17:AF22,1)</f>
        <v>0</v>
      </c>
      <c r="AF24" s="75">
        <f>COUNTIFS(AG17:AG22,"ر1",AF17:AF22,1)</f>
        <v>0</v>
      </c>
      <c r="AG24" s="39">
        <f>COUNTIFS(AG17:AG22,"ر2",AF17:AF22,1)</f>
        <v>0</v>
      </c>
      <c r="AH24" s="101"/>
      <c r="AI24" s="101"/>
      <c r="AJ24" s="101"/>
      <c r="AK24" s="100"/>
      <c r="AL24" s="56" t="str">
        <f t="shared" si="18"/>
        <v/>
      </c>
      <c r="AM24" s="1">
        <v>17</v>
      </c>
      <c r="AU24" s="56">
        <v>20</v>
      </c>
      <c r="AV24">
        <v>629</v>
      </c>
      <c r="AW24" t="s">
        <v>235</v>
      </c>
      <c r="AX24" s="59">
        <f t="shared" ref="AX24:AY24" si="20">P18</f>
        <v>0</v>
      </c>
      <c r="AY24" s="84">
        <f t="shared" si="20"/>
        <v>0</v>
      </c>
      <c r="AZ24" s="48"/>
      <c r="BC24" s="116"/>
      <c r="BD24" s="116"/>
    </row>
    <row r="25" spans="1:57" ht="15.6" hidden="1" x14ac:dyDescent="0.3">
      <c r="B25" s="21"/>
      <c r="D25" s="37"/>
      <c r="E25" s="37"/>
      <c r="F25" s="37"/>
      <c r="G25" s="37"/>
      <c r="H25" s="21"/>
      <c r="I25" s="58"/>
      <c r="J25" s="111"/>
      <c r="K25" s="74"/>
      <c r="P25" s="75"/>
      <c r="Q25" s="39"/>
      <c r="R25" s="80"/>
      <c r="S25" s="74"/>
      <c r="T25" s="33">
        <f>B15+B24+K15+K24+S15+S24+AA15+AA24</f>
        <v>0</v>
      </c>
      <c r="U25" s="34"/>
      <c r="V25" s="34"/>
      <c r="W25" s="34"/>
      <c r="X25" s="81"/>
      <c r="Y25" s="40"/>
      <c r="Z25" s="35"/>
      <c r="AA25" s="29"/>
      <c r="AB25" s="34"/>
      <c r="AC25" s="34"/>
      <c r="AD25" s="34"/>
      <c r="AE25" s="34"/>
      <c r="AF25" s="81"/>
      <c r="AG25" s="40"/>
      <c r="AH25" s="101"/>
      <c r="AI25" s="101"/>
      <c r="AJ25" s="101"/>
      <c r="AK25" s="100"/>
      <c r="AL25" s="56" t="str">
        <f t="shared" si="18"/>
        <v/>
      </c>
      <c r="AM25" s="1">
        <v>18</v>
      </c>
      <c r="AU25" s="56">
        <v>21</v>
      </c>
      <c r="AV25">
        <v>630</v>
      </c>
      <c r="AW25" t="s">
        <v>269</v>
      </c>
      <c r="AX25" s="59">
        <f t="shared" ref="AX25:AY25" si="21">P19</f>
        <v>0</v>
      </c>
      <c r="AY25" s="84">
        <f t="shared" si="21"/>
        <v>0</v>
      </c>
      <c r="AZ25" s="48"/>
      <c r="BC25" s="48"/>
      <c r="BD25" s="48"/>
    </row>
    <row r="26" spans="1:57" ht="16.2" thickBot="1" x14ac:dyDescent="0.3">
      <c r="I26" s="113"/>
      <c r="J26" s="79"/>
      <c r="S26" s="74"/>
      <c r="AH26" s="100"/>
      <c r="AI26" s="100"/>
      <c r="AJ26" s="100"/>
      <c r="AK26" s="100"/>
      <c r="AL26" s="56" t="str">
        <f t="shared" si="18"/>
        <v/>
      </c>
      <c r="AM26" s="1">
        <v>19</v>
      </c>
      <c r="AU26" s="56">
        <v>22</v>
      </c>
      <c r="AV26">
        <v>631</v>
      </c>
      <c r="AW26" t="s">
        <v>270</v>
      </c>
      <c r="AX26" s="59">
        <f t="shared" ref="AX26:AY26" si="22">P20</f>
        <v>0</v>
      </c>
      <c r="AY26" s="84">
        <f t="shared" si="22"/>
        <v>0</v>
      </c>
      <c r="AZ26" s="48"/>
      <c r="BA26" s="1"/>
      <c r="BB26" s="1"/>
      <c r="BC26" s="48"/>
      <c r="BD26" s="48"/>
    </row>
    <row r="27" spans="1:57" ht="16.8" thickTop="1" thickBot="1" x14ac:dyDescent="0.3">
      <c r="C27" s="317" t="s">
        <v>220</v>
      </c>
      <c r="D27" s="317"/>
      <c r="E27" s="317"/>
      <c r="F27" s="317"/>
      <c r="G27" s="317"/>
      <c r="H27" s="317"/>
      <c r="L27" s="321" t="s">
        <v>25</v>
      </c>
      <c r="M27" s="321"/>
      <c r="N27" s="320">
        <f>IF(E2="الرابعة حديث",50000,0)</f>
        <v>0</v>
      </c>
      <c r="O27" s="320"/>
      <c r="P27" s="320"/>
      <c r="Q27" s="320"/>
      <c r="R27" s="320"/>
      <c r="T27" s="321" t="s">
        <v>137</v>
      </c>
      <c r="U27" s="321"/>
      <c r="V27" s="321"/>
      <c r="W27" s="322">
        <f>IF(I8="A",COUNT(B28:B35)*15000,IF(K5=AO4,COUNT(B28:B35)*15000,IF(OR(K5=AO1,K5=AO2,K5=AO5,K5=AO8),COUNT(B28:B35)*15000,IF(OR(K5=AO3,K5=AO6),COUNT(B28:B35)*15000,COUNT(B28:B35)*15000))))</f>
        <v>0</v>
      </c>
      <c r="X27" s="322"/>
      <c r="Y27" s="322"/>
      <c r="Z27" s="321" t="s">
        <v>73</v>
      </c>
      <c r="AA27" s="321"/>
      <c r="AB27" s="321"/>
      <c r="AC27" s="321"/>
      <c r="AD27" s="322">
        <f>IF(W27&gt;0,37000,12000)</f>
        <v>12000</v>
      </c>
      <c r="AE27" s="322"/>
      <c r="AF27" s="322"/>
      <c r="AG27" s="322"/>
      <c r="AH27" s="100"/>
      <c r="AI27" s="100"/>
      <c r="AJ27" s="100"/>
      <c r="AK27" s="100"/>
      <c r="AL27" s="56" t="str">
        <f t="shared" ref="AL27:AL33" si="23">IF(J17&lt;&gt;"",J17,"")</f>
        <v/>
      </c>
      <c r="AM27" s="1">
        <v>20</v>
      </c>
      <c r="AU27" s="56">
        <v>23</v>
      </c>
      <c r="AV27">
        <v>632</v>
      </c>
      <c r="AW27" t="s">
        <v>271</v>
      </c>
      <c r="AX27" s="59">
        <f t="shared" ref="AX27:AY27" si="24">P21</f>
        <v>0</v>
      </c>
      <c r="AY27" s="84">
        <f t="shared" si="24"/>
        <v>0</v>
      </c>
      <c r="AZ27" s="48"/>
      <c r="BA27" s="1"/>
      <c r="BB27" s="1"/>
      <c r="BC27" s="49"/>
      <c r="BD27" s="49"/>
    </row>
    <row r="28" spans="1:57" ht="21.75" customHeight="1" thickTop="1" thickBot="1" x14ac:dyDescent="0.3">
      <c r="B28" s="1" t="str">
        <f t="shared" ref="B28:B37" si="25">IFERROR(SMALL($C$40:$C$49,AM8),"")</f>
        <v/>
      </c>
      <c r="C28" s="317" t="str">
        <f t="shared" ref="C28:C38" si="26">IF(B28&lt;&gt;"",VLOOKUP(B28,$C$40:$D$51,2,0),"")</f>
        <v/>
      </c>
      <c r="D28" s="317"/>
      <c r="E28" s="317"/>
      <c r="F28" s="317"/>
      <c r="G28" s="317"/>
      <c r="H28" s="317"/>
      <c r="L28" s="323" t="s">
        <v>138</v>
      </c>
      <c r="M28" s="323"/>
      <c r="N28" s="320">
        <f>IF(Z28="ضعف الرسوم",T25*2,T25)</f>
        <v>0</v>
      </c>
      <c r="O28" s="320"/>
      <c r="P28" s="320"/>
      <c r="Q28" s="320"/>
      <c r="R28" s="320"/>
      <c r="T28" s="321" t="s">
        <v>23</v>
      </c>
      <c r="U28" s="321"/>
      <c r="V28" s="321"/>
      <c r="W28" s="328">
        <f>AD27+N28</f>
        <v>12000</v>
      </c>
      <c r="X28" s="328"/>
      <c r="Y28" s="328"/>
      <c r="Z28" s="318">
        <f>'إدخال البيانات'!F1</f>
        <v>0</v>
      </c>
      <c r="AA28" s="318"/>
      <c r="AB28" s="318"/>
      <c r="AC28" s="318"/>
      <c r="AD28" s="318"/>
      <c r="AE28" s="318"/>
      <c r="AF28" s="318"/>
      <c r="AG28" s="107"/>
      <c r="AH28" s="100"/>
      <c r="AI28" s="100"/>
      <c r="AJ28" s="100"/>
      <c r="AK28" s="100"/>
      <c r="AL28" s="56" t="str">
        <f t="shared" si="23"/>
        <v/>
      </c>
      <c r="AM28" s="1">
        <v>21</v>
      </c>
      <c r="AU28" s="56">
        <v>24</v>
      </c>
      <c r="AV28">
        <v>633</v>
      </c>
      <c r="AW28" t="s">
        <v>272</v>
      </c>
      <c r="AX28" s="59">
        <f t="shared" ref="AX28:AY28" si="27">P22</f>
        <v>0</v>
      </c>
      <c r="AY28" s="84">
        <f t="shared" si="27"/>
        <v>0</v>
      </c>
      <c r="AZ28" s="48"/>
      <c r="BA28" s="1"/>
      <c r="BB28" s="1"/>
      <c r="BC28" s="49"/>
      <c r="BD28" s="49"/>
    </row>
    <row r="29" spans="1:57" ht="21.75" customHeight="1" thickTop="1" thickBot="1" x14ac:dyDescent="0.3">
      <c r="B29" s="1" t="str">
        <f t="shared" si="25"/>
        <v/>
      </c>
      <c r="C29" s="317" t="str">
        <f t="shared" si="26"/>
        <v/>
      </c>
      <c r="D29" s="317"/>
      <c r="E29" s="317"/>
      <c r="F29" s="317"/>
      <c r="G29" s="317"/>
      <c r="H29" s="317"/>
      <c r="L29" s="321" t="s">
        <v>20</v>
      </c>
      <c r="M29" s="321"/>
      <c r="N29" s="324" t="s">
        <v>85</v>
      </c>
      <c r="O29" s="324"/>
      <c r="P29" s="324"/>
      <c r="Q29" s="324"/>
      <c r="R29" s="324"/>
      <c r="T29" s="321" t="s">
        <v>24</v>
      </c>
      <c r="U29" s="321"/>
      <c r="V29" s="321"/>
      <c r="W29" s="325">
        <f>IF(N29="نعم",(الإستمارة!T1+الإستمارة!T2)+AD27+(W28-(الإستمارة!T1+الإستمارة!T2)-AD27)/2,W28)</f>
        <v>12000</v>
      </c>
      <c r="X29" s="325"/>
      <c r="Y29" s="325"/>
      <c r="Z29" s="321" t="s">
        <v>26</v>
      </c>
      <c r="AA29" s="321"/>
      <c r="AB29" s="321"/>
      <c r="AC29" s="321"/>
      <c r="AD29" s="322">
        <f>W28-W29</f>
        <v>0</v>
      </c>
      <c r="AE29" s="322"/>
      <c r="AF29" s="322"/>
      <c r="AG29" s="322"/>
      <c r="AH29" s="100"/>
      <c r="AI29" s="100"/>
      <c r="AJ29" s="100"/>
      <c r="AK29" s="100"/>
      <c r="AL29" s="56" t="str">
        <f t="shared" si="23"/>
        <v/>
      </c>
      <c r="AM29" s="1">
        <v>22</v>
      </c>
      <c r="AU29" s="56">
        <v>25</v>
      </c>
      <c r="AV29">
        <v>640</v>
      </c>
      <c r="AW29" t="s">
        <v>273</v>
      </c>
      <c r="AX29" s="59">
        <f>X8</f>
        <v>0</v>
      </c>
      <c r="AY29" s="84">
        <f>Y8</f>
        <v>0</v>
      </c>
      <c r="AZ29" s="48"/>
      <c r="BA29" s="1"/>
      <c r="BB29" s="1"/>
      <c r="BC29" s="49"/>
      <c r="BD29" s="49"/>
    </row>
    <row r="30" spans="1:57" ht="21.75" customHeight="1" thickTop="1" x14ac:dyDescent="0.25">
      <c r="B30" s="1" t="str">
        <f t="shared" si="25"/>
        <v/>
      </c>
      <c r="C30" s="317" t="str">
        <f t="shared" si="26"/>
        <v/>
      </c>
      <c r="D30" s="317"/>
      <c r="E30" s="317"/>
      <c r="F30" s="317"/>
      <c r="G30" s="317"/>
      <c r="H30" s="317"/>
      <c r="P30" s="326" t="s">
        <v>74</v>
      </c>
      <c r="Q30" s="326"/>
      <c r="R30" s="326"/>
      <c r="S30" s="326"/>
      <c r="T30" s="326"/>
      <c r="U30" s="326"/>
      <c r="V30" s="106">
        <f>G15+O15+W15+AE15+G24+O24+W24+AE24</f>
        <v>0</v>
      </c>
      <c r="W30" s="326" t="s">
        <v>75</v>
      </c>
      <c r="X30" s="326"/>
      <c r="Y30" s="326"/>
      <c r="Z30" s="326"/>
      <c r="AA30" s="326"/>
      <c r="AB30" s="106">
        <f>H15+P15+X15+AF15+H24+P24+X24+AF24</f>
        <v>0</v>
      </c>
      <c r="AC30" s="327" t="s">
        <v>76</v>
      </c>
      <c r="AD30" s="327"/>
      <c r="AE30" s="327"/>
      <c r="AF30" s="106">
        <f>I15+Q15+Y15+AG15+I24+Q24+Y24+AG24</f>
        <v>0</v>
      </c>
      <c r="AH30" s="100"/>
      <c r="AI30" s="100"/>
      <c r="AJ30" s="100"/>
      <c r="AK30" s="100"/>
      <c r="AL30" s="56" t="str">
        <f t="shared" si="23"/>
        <v/>
      </c>
      <c r="AM30" s="1">
        <v>23</v>
      </c>
      <c r="AU30" s="56">
        <v>26</v>
      </c>
      <c r="AV30">
        <v>641</v>
      </c>
      <c r="AW30" t="s">
        <v>274</v>
      </c>
      <c r="AX30" s="59">
        <f t="shared" ref="AX30:AY30" si="28">X9</f>
        <v>0</v>
      </c>
      <c r="AY30" s="84">
        <f t="shared" si="28"/>
        <v>0</v>
      </c>
      <c r="AZ30" s="48"/>
      <c r="BA30" s="1"/>
      <c r="BB30" s="1"/>
      <c r="BC30" s="49"/>
      <c r="BD30" s="49"/>
    </row>
    <row r="31" spans="1:57" s="2" customFormat="1" ht="15.6" x14ac:dyDescent="0.25">
      <c r="B31" s="1" t="str">
        <f t="shared" si="25"/>
        <v/>
      </c>
      <c r="C31" s="317" t="str">
        <f t="shared" si="26"/>
        <v/>
      </c>
      <c r="D31" s="317"/>
      <c r="E31" s="317"/>
      <c r="F31" s="317"/>
      <c r="G31" s="317"/>
      <c r="H31" s="317"/>
      <c r="I31" s="108"/>
      <c r="J31" s="319" t="s">
        <v>139</v>
      </c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108"/>
      <c r="AL31" s="56" t="str">
        <f t="shared" si="23"/>
        <v/>
      </c>
      <c r="AM31" s="1">
        <v>24</v>
      </c>
      <c r="AU31" s="56">
        <v>27</v>
      </c>
      <c r="AV31">
        <v>642</v>
      </c>
      <c r="AW31" t="s">
        <v>275</v>
      </c>
      <c r="AX31" s="59">
        <f t="shared" ref="AX31:AY31" si="29">X10</f>
        <v>0</v>
      </c>
      <c r="AY31" s="84">
        <f t="shared" si="29"/>
        <v>0</v>
      </c>
      <c r="AZ31" s="48"/>
      <c r="BC31" s="42"/>
      <c r="BD31" s="42"/>
    </row>
    <row r="32" spans="1:57" s="2" customFormat="1" ht="19.5" customHeight="1" x14ac:dyDescent="0.25">
      <c r="B32" s="1" t="str">
        <f t="shared" si="25"/>
        <v/>
      </c>
      <c r="C32" s="317" t="str">
        <f t="shared" si="26"/>
        <v/>
      </c>
      <c r="D32" s="317"/>
      <c r="E32" s="317"/>
      <c r="F32" s="317"/>
      <c r="G32" s="317"/>
      <c r="H32" s="317"/>
      <c r="I32" s="108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108"/>
      <c r="AL32" s="56" t="str">
        <f t="shared" si="23"/>
        <v/>
      </c>
      <c r="AM32" s="1">
        <v>25</v>
      </c>
      <c r="AU32" s="56">
        <v>28</v>
      </c>
      <c r="AV32">
        <v>643</v>
      </c>
      <c r="AW32" t="s">
        <v>276</v>
      </c>
      <c r="AX32" s="59">
        <f t="shared" ref="AX32:AY32" si="30">X11</f>
        <v>0</v>
      </c>
      <c r="AY32" s="84">
        <f t="shared" si="30"/>
        <v>0</v>
      </c>
      <c r="AZ32" s="48"/>
      <c r="BC32" s="42"/>
      <c r="BD32" s="42"/>
    </row>
    <row r="33" spans="2:94" s="2" customFormat="1" ht="15.6" x14ac:dyDescent="0.25">
      <c r="B33" s="1" t="str">
        <f t="shared" si="25"/>
        <v/>
      </c>
      <c r="C33" s="317" t="str">
        <f t="shared" si="26"/>
        <v/>
      </c>
      <c r="D33" s="317"/>
      <c r="E33" s="317"/>
      <c r="F33" s="317"/>
      <c r="G33" s="317"/>
      <c r="H33" s="317"/>
      <c r="J33" s="22"/>
      <c r="L33" s="3"/>
      <c r="M33" s="4"/>
      <c r="N33" s="4"/>
      <c r="O33" s="4"/>
      <c r="AL33" s="56" t="str">
        <f t="shared" si="23"/>
        <v/>
      </c>
      <c r="AM33" s="1">
        <v>26</v>
      </c>
      <c r="AU33" s="56">
        <v>29</v>
      </c>
      <c r="AV33">
        <v>644</v>
      </c>
      <c r="AW33" t="s">
        <v>277</v>
      </c>
      <c r="AX33" s="59">
        <f t="shared" ref="AX33:AY33" si="31">X12</f>
        <v>0</v>
      </c>
      <c r="AY33" s="84">
        <f t="shared" si="31"/>
        <v>0</v>
      </c>
      <c r="AZ33" s="48"/>
      <c r="BC33" s="49"/>
      <c r="BD33" s="49"/>
    </row>
    <row r="34" spans="2:94" s="2" customFormat="1" ht="15.6" x14ac:dyDescent="0.25">
      <c r="B34" s="1" t="str">
        <f t="shared" si="25"/>
        <v/>
      </c>
      <c r="C34" s="317" t="str">
        <f t="shared" si="26"/>
        <v/>
      </c>
      <c r="D34" s="317"/>
      <c r="E34" s="317"/>
      <c r="F34" s="317"/>
      <c r="G34" s="317"/>
      <c r="H34" s="317"/>
      <c r="J34" s="22"/>
      <c r="L34" s="3"/>
      <c r="M34" s="4"/>
      <c r="N34" s="4"/>
      <c r="O34" s="4"/>
      <c r="AL34" s="56" t="str">
        <f>IF(R8&lt;&gt;"",R8,"")</f>
        <v/>
      </c>
      <c r="AM34" s="1">
        <v>27</v>
      </c>
      <c r="AU34" s="56">
        <v>30</v>
      </c>
      <c r="AV34">
        <v>645</v>
      </c>
      <c r="AW34" t="s">
        <v>278</v>
      </c>
      <c r="AX34" s="59">
        <f t="shared" ref="AX34:AY34" si="32">X13</f>
        <v>0</v>
      </c>
      <c r="AY34" s="84">
        <f t="shared" si="32"/>
        <v>0</v>
      </c>
      <c r="AZ34" s="48"/>
      <c r="BC34" s="49"/>
      <c r="BD34" s="49"/>
    </row>
    <row r="35" spans="2:94" s="2" customFormat="1" ht="15.6" x14ac:dyDescent="0.25">
      <c r="B35" s="1" t="str">
        <f t="shared" si="25"/>
        <v/>
      </c>
      <c r="C35" s="317" t="str">
        <f t="shared" si="26"/>
        <v/>
      </c>
      <c r="D35" s="317"/>
      <c r="E35" s="317"/>
      <c r="F35" s="317"/>
      <c r="G35" s="317"/>
      <c r="H35" s="317"/>
      <c r="J35" s="22"/>
      <c r="L35" s="3"/>
      <c r="M35" s="4"/>
      <c r="N35" s="4"/>
      <c r="O35" s="4"/>
      <c r="AL35" s="56"/>
      <c r="AM35" s="1">
        <v>28</v>
      </c>
      <c r="AU35" s="56">
        <v>31</v>
      </c>
      <c r="AV35">
        <v>646</v>
      </c>
      <c r="AW35" t="s">
        <v>279</v>
      </c>
      <c r="AX35" s="84">
        <f>AF8</f>
        <v>0</v>
      </c>
      <c r="AY35" s="84">
        <f>AG8</f>
        <v>0</v>
      </c>
      <c r="AZ35" s="48"/>
      <c r="BC35" s="42"/>
      <c r="BD35" s="42"/>
    </row>
    <row r="36" spans="2:94" s="2" customFormat="1" ht="15.6" x14ac:dyDescent="0.3">
      <c r="B36" s="1" t="str">
        <f t="shared" si="25"/>
        <v/>
      </c>
      <c r="C36" s="317" t="str">
        <f t="shared" si="26"/>
        <v/>
      </c>
      <c r="D36" s="317"/>
      <c r="E36" s="317"/>
      <c r="F36" s="317"/>
      <c r="G36" s="317"/>
      <c r="H36" s="317"/>
      <c r="I36" s="21"/>
      <c r="J36" s="21"/>
      <c r="K36" s="21"/>
      <c r="L36" s="21"/>
      <c r="M36" s="21"/>
      <c r="N36" s="21"/>
      <c r="O36" s="21"/>
      <c r="P36" s="21"/>
      <c r="Q36" s="21"/>
      <c r="AL36" s="56" t="str">
        <f>IF(R9&lt;&gt;"",R9,"")</f>
        <v/>
      </c>
      <c r="AM36" s="1">
        <v>29</v>
      </c>
      <c r="AU36" s="56">
        <v>32</v>
      </c>
      <c r="AV36">
        <v>647</v>
      </c>
      <c r="AW36" t="s">
        <v>280</v>
      </c>
      <c r="AX36" s="84">
        <f t="shared" ref="AX36:AY36" si="33">AF9</f>
        <v>0</v>
      </c>
      <c r="AY36" s="84">
        <f t="shared" si="33"/>
        <v>0</v>
      </c>
      <c r="AZ36" s="48"/>
      <c r="BC36" s="42"/>
      <c r="BD36" s="42"/>
    </row>
    <row r="37" spans="2:94" s="2" customFormat="1" ht="15.6" x14ac:dyDescent="0.25">
      <c r="B37" s="1" t="str">
        <f t="shared" si="25"/>
        <v/>
      </c>
      <c r="C37" s="317" t="str">
        <f t="shared" si="26"/>
        <v/>
      </c>
      <c r="D37" s="317"/>
      <c r="E37" s="317"/>
      <c r="F37" s="317"/>
      <c r="G37" s="317"/>
      <c r="H37" s="317"/>
      <c r="J37" s="22"/>
      <c r="L37" s="3"/>
      <c r="M37" s="4"/>
      <c r="N37" s="4"/>
      <c r="O37" s="4"/>
      <c r="AL37" s="56" t="str">
        <f>IF(R10&lt;&gt;"",R10,"")</f>
        <v/>
      </c>
      <c r="AM37" s="1">
        <v>30</v>
      </c>
      <c r="AU37" s="56">
        <v>33</v>
      </c>
      <c r="AV37">
        <v>648</v>
      </c>
      <c r="AW37" t="s">
        <v>281</v>
      </c>
      <c r="AX37" s="84">
        <f t="shared" ref="AX37:AY37" si="34">AF10</f>
        <v>0</v>
      </c>
      <c r="AY37" s="84">
        <f t="shared" si="34"/>
        <v>0</v>
      </c>
      <c r="AZ37" s="48"/>
      <c r="BC37" s="42"/>
      <c r="BD37" s="42"/>
    </row>
    <row r="38" spans="2:94" s="2" customFormat="1" ht="15.6" x14ac:dyDescent="0.25">
      <c r="C38" s="317" t="str">
        <f t="shared" si="26"/>
        <v/>
      </c>
      <c r="D38" s="317"/>
      <c r="E38" s="317"/>
      <c r="F38" s="317"/>
      <c r="G38" s="317"/>
      <c r="H38" s="317"/>
      <c r="J38" s="22"/>
      <c r="L38" s="3"/>
      <c r="M38" s="4"/>
      <c r="N38" s="4"/>
      <c r="O38" s="4"/>
      <c r="AL38" s="56" t="str">
        <f>IF(R11&lt;&gt;"",R11,"")</f>
        <v/>
      </c>
      <c r="AM38" s="1">
        <v>31</v>
      </c>
      <c r="AU38" s="56">
        <v>34</v>
      </c>
      <c r="AV38">
        <v>649</v>
      </c>
      <c r="AW38" t="s">
        <v>282</v>
      </c>
      <c r="AX38" s="84">
        <f t="shared" ref="AX38:AY38" si="35">AF11</f>
        <v>0</v>
      </c>
      <c r="AY38" s="84">
        <f t="shared" si="35"/>
        <v>0</v>
      </c>
      <c r="AZ38" s="48"/>
      <c r="BC38" s="42"/>
      <c r="BD38" s="42"/>
    </row>
    <row r="39" spans="2:94" s="2" customFormat="1" ht="15.6" x14ac:dyDescent="0.25">
      <c r="E39" s="4"/>
      <c r="F39" s="4"/>
      <c r="G39" s="4"/>
      <c r="J39" s="22"/>
      <c r="L39" s="3"/>
      <c r="M39" s="4"/>
      <c r="N39" s="4"/>
      <c r="O39" s="4"/>
      <c r="AL39" s="56" t="str">
        <f>IF(R12&lt;&gt;"",R12,"")</f>
        <v/>
      </c>
      <c r="AM39" s="1">
        <v>32</v>
      </c>
      <c r="AU39" s="56">
        <v>35</v>
      </c>
      <c r="AV39">
        <v>650</v>
      </c>
      <c r="AW39" t="s">
        <v>283</v>
      </c>
      <c r="AX39" s="84">
        <f t="shared" ref="AX39:AY39" si="36">AF12</f>
        <v>0</v>
      </c>
      <c r="AY39" s="84">
        <f t="shared" si="36"/>
        <v>0</v>
      </c>
      <c r="AZ39" s="48"/>
      <c r="BC39" s="42"/>
      <c r="BD39" s="42"/>
    </row>
    <row r="40" spans="2:94" s="2" customFormat="1" ht="15.6" x14ac:dyDescent="0.3">
      <c r="C40" s="21" t="e">
        <f>IF(VLOOKUP($E$1,#REF!,22,0)="م",1,"")</f>
        <v>#REF!</v>
      </c>
      <c r="D40" s="21" t="s">
        <v>145</v>
      </c>
      <c r="E40" s="4"/>
      <c r="F40" s="4"/>
      <c r="G40" s="4"/>
      <c r="J40" s="22"/>
      <c r="L40" s="3"/>
      <c r="M40" s="4" t="s">
        <v>230</v>
      </c>
      <c r="N40" s="4"/>
      <c r="O40" s="4"/>
      <c r="AL40" s="56" t="str">
        <f>IF(R13&lt;&gt;"",R13,"")</f>
        <v/>
      </c>
      <c r="AM40" s="1">
        <v>33</v>
      </c>
      <c r="AU40" s="56">
        <v>36</v>
      </c>
      <c r="AV40">
        <v>651</v>
      </c>
      <c r="AW40" t="s">
        <v>284</v>
      </c>
      <c r="AX40" s="84">
        <f t="shared" ref="AX40:AY40" si="37">AF13</f>
        <v>0</v>
      </c>
      <c r="AY40" s="84">
        <f t="shared" si="37"/>
        <v>0</v>
      </c>
      <c r="AZ40" s="48"/>
      <c r="BC40" s="49"/>
      <c r="BD40" s="49"/>
    </row>
    <row r="41" spans="2:94" s="2" customFormat="1" ht="15.6" x14ac:dyDescent="0.3">
      <c r="C41" s="21" t="e">
        <f>IF(VLOOKUP($E$1,#REF!,23,0)="م",2,"")</f>
        <v>#REF!</v>
      </c>
      <c r="D41" s="21" t="s">
        <v>146</v>
      </c>
      <c r="E41" s="4"/>
      <c r="F41" s="4"/>
      <c r="G41" s="4"/>
      <c r="J41" s="22"/>
      <c r="L41" s="3"/>
      <c r="M41" s="4" t="s">
        <v>231</v>
      </c>
      <c r="N41" s="4"/>
      <c r="O41" s="4"/>
      <c r="AL41" s="56" t="str">
        <f t="shared" ref="AL41:AL46" si="38">IF(Z8&lt;&gt;"",Z8,"")</f>
        <v/>
      </c>
      <c r="AM41" s="1">
        <v>34</v>
      </c>
      <c r="AU41" s="56">
        <v>37</v>
      </c>
      <c r="AV41">
        <v>660</v>
      </c>
      <c r="AW41" t="s">
        <v>285</v>
      </c>
      <c r="AX41" s="59">
        <f>X17</f>
        <v>0</v>
      </c>
      <c r="AY41" s="84">
        <f>Y17</f>
        <v>0</v>
      </c>
      <c r="AZ41" s="48"/>
      <c r="BC41" s="42"/>
      <c r="BD41" s="42"/>
    </row>
    <row r="42" spans="2:94" s="2" customFormat="1" ht="15.6" x14ac:dyDescent="0.3">
      <c r="C42" s="21" t="e">
        <f>IF(VLOOKUP($E$1,#REF!,24,0)="م",3,"")</f>
        <v>#REF!</v>
      </c>
      <c r="D42" s="21" t="s">
        <v>147</v>
      </c>
      <c r="E42" s="4"/>
      <c r="F42" s="4"/>
      <c r="G42" s="4"/>
      <c r="J42" s="22"/>
      <c r="L42" s="3"/>
      <c r="M42" s="4" t="s">
        <v>232</v>
      </c>
      <c r="N42" s="4"/>
      <c r="O42" s="4"/>
      <c r="AL42" s="56" t="str">
        <f t="shared" si="38"/>
        <v/>
      </c>
      <c r="AM42" s="1">
        <v>35</v>
      </c>
      <c r="AU42" s="56">
        <v>38</v>
      </c>
      <c r="AV42">
        <v>661</v>
      </c>
      <c r="AW42" t="s">
        <v>286</v>
      </c>
      <c r="AX42" s="59">
        <f t="shared" ref="AX42:AY42" si="39">X18</f>
        <v>0</v>
      </c>
      <c r="AY42" s="84">
        <f t="shared" si="39"/>
        <v>0</v>
      </c>
      <c r="AZ42" s="48"/>
      <c r="BC42" s="42"/>
      <c r="BD42" s="42"/>
    </row>
    <row r="43" spans="2:94" s="2" customFormat="1" ht="15.6" x14ac:dyDescent="0.3">
      <c r="B43" s="4"/>
      <c r="C43" s="21" t="e">
        <f>IF(VLOOKUP($E$1,#REF!,25,0)="م",4,"")</f>
        <v>#REF!</v>
      </c>
      <c r="D43" s="21" t="s">
        <v>148</v>
      </c>
      <c r="E43" s="5"/>
      <c r="H43" s="23"/>
      <c r="I43" s="23"/>
      <c r="J43" s="23"/>
      <c r="K43" s="23"/>
      <c r="L43" s="6"/>
      <c r="M43" s="6"/>
      <c r="N43" s="24"/>
      <c r="O43" s="24"/>
      <c r="P43" s="24"/>
      <c r="Q43" s="24"/>
      <c r="AL43" s="56" t="str">
        <f t="shared" si="38"/>
        <v/>
      </c>
      <c r="AM43" s="1">
        <v>36</v>
      </c>
      <c r="AU43" s="56">
        <v>39</v>
      </c>
      <c r="AV43">
        <v>662</v>
      </c>
      <c r="AW43" t="s">
        <v>287</v>
      </c>
      <c r="AX43" s="59">
        <f t="shared" ref="AX43:AY43" si="40">X19</f>
        <v>0</v>
      </c>
      <c r="AY43" s="84">
        <f t="shared" si="40"/>
        <v>0</v>
      </c>
      <c r="AZ43" s="48"/>
      <c r="BC43" s="51"/>
      <c r="BD43" s="51"/>
    </row>
    <row r="44" spans="2:94" s="2" customFormat="1" ht="17.399999999999999" x14ac:dyDescent="0.3">
      <c r="B44" s="7"/>
      <c r="C44" s="21" t="e">
        <f>IF(VLOOKUP($E$1,#REF!,26,0)="م",5,"")</f>
        <v>#REF!</v>
      </c>
      <c r="D44" s="21" t="s">
        <v>180</v>
      </c>
      <c r="E44" s="4"/>
      <c r="F44" s="4"/>
      <c r="H44" s="23"/>
      <c r="I44" s="23"/>
      <c r="J44" s="23"/>
      <c r="K44" s="23"/>
      <c r="L44" s="6"/>
      <c r="M44" s="6"/>
      <c r="N44" s="24"/>
      <c r="O44" s="24"/>
      <c r="P44" s="24"/>
      <c r="Q44" s="24"/>
      <c r="AL44" s="56" t="str">
        <f t="shared" si="38"/>
        <v/>
      </c>
      <c r="AM44" s="1">
        <v>37</v>
      </c>
      <c r="AU44" s="56">
        <v>40</v>
      </c>
      <c r="AV44">
        <v>663</v>
      </c>
      <c r="AW44" t="s">
        <v>288</v>
      </c>
      <c r="AX44" s="59">
        <f t="shared" ref="AX44:AY44" si="41">X20</f>
        <v>0</v>
      </c>
      <c r="AY44" s="84">
        <f t="shared" si="41"/>
        <v>0</v>
      </c>
      <c r="AZ44" s="48"/>
      <c r="BC44" s="42"/>
      <c r="BD44" s="42"/>
    </row>
    <row r="45" spans="2:94" s="2" customFormat="1" ht="17.399999999999999" x14ac:dyDescent="0.3">
      <c r="B45" s="8"/>
      <c r="C45" s="21" t="e">
        <f>IF(VLOOKUP($E$1,#REF!,27,0)="م",6,"")</f>
        <v>#REF!</v>
      </c>
      <c r="D45" s="21" t="s">
        <v>214</v>
      </c>
      <c r="E45" s="8"/>
      <c r="F45" s="8"/>
      <c r="G45" s="9"/>
      <c r="H45" s="7"/>
      <c r="I45" s="7"/>
      <c r="J45" s="7"/>
      <c r="K45" s="7"/>
      <c r="L45" s="4"/>
      <c r="M45" s="4"/>
      <c r="N45" s="24"/>
      <c r="O45" s="24"/>
      <c r="P45" s="24"/>
      <c r="Q45" s="24"/>
      <c r="AL45" s="56" t="str">
        <f t="shared" si="38"/>
        <v/>
      </c>
      <c r="AM45" s="1">
        <v>38</v>
      </c>
      <c r="AU45" s="56">
        <v>41</v>
      </c>
      <c r="AV45">
        <v>664</v>
      </c>
      <c r="AW45" t="s">
        <v>289</v>
      </c>
      <c r="AX45" s="59">
        <f t="shared" ref="AX45:AY45" si="42">X21</f>
        <v>0</v>
      </c>
      <c r="AY45" s="84">
        <f t="shared" si="42"/>
        <v>0</v>
      </c>
      <c r="AZ45" s="48"/>
      <c r="BC45" s="42"/>
      <c r="BD45" s="42"/>
    </row>
    <row r="46" spans="2:94" s="2" customFormat="1" ht="17.25" customHeight="1" x14ac:dyDescent="0.3">
      <c r="B46" s="4"/>
      <c r="C46" s="21" t="e">
        <f>IF(VLOOKUP($E$1,#REF!,28,0)="م",7,"")</f>
        <v>#REF!</v>
      </c>
      <c r="D46" s="21" t="s">
        <v>216</v>
      </c>
      <c r="G46" s="4"/>
      <c r="H46" s="4"/>
      <c r="I46" s="4"/>
      <c r="J46" s="4"/>
      <c r="K46" s="4"/>
      <c r="L46" s="4"/>
      <c r="M46" s="10"/>
      <c r="N46" s="24"/>
      <c r="O46" s="24"/>
      <c r="P46" s="24"/>
      <c r="Q46" s="24"/>
      <c r="AL46" s="56" t="str">
        <f t="shared" si="38"/>
        <v/>
      </c>
      <c r="AM46" s="1">
        <v>39</v>
      </c>
      <c r="AU46" s="56">
        <v>42</v>
      </c>
      <c r="AV46">
        <v>665</v>
      </c>
      <c r="AW46" t="s">
        <v>290</v>
      </c>
      <c r="AX46" s="59">
        <f t="shared" ref="AX46:AY46" si="43">X22</f>
        <v>0</v>
      </c>
      <c r="AY46" s="84">
        <f t="shared" si="43"/>
        <v>0</v>
      </c>
      <c r="AZ46" s="48"/>
      <c r="BC46" s="49"/>
      <c r="BD46" s="49"/>
    </row>
    <row r="47" spans="2:94" s="2" customFormat="1" ht="19.5" customHeight="1" x14ac:dyDescent="0.3">
      <c r="B47" s="7"/>
      <c r="C47" s="21" t="e">
        <f>IF(VLOOKUP($E$1,#REF!,32,0)="م",8,"")</f>
        <v>#REF!</v>
      </c>
      <c r="D47" s="4" t="s">
        <v>219</v>
      </c>
      <c r="E47" s="9"/>
      <c r="F47" s="9"/>
      <c r="G47" s="4"/>
      <c r="H47" s="4"/>
      <c r="I47" s="4"/>
      <c r="J47" s="4"/>
      <c r="K47" s="4"/>
      <c r="L47" s="4"/>
      <c r="M47" s="6"/>
      <c r="N47" s="6"/>
      <c r="O47" s="11"/>
      <c r="P47" s="11"/>
      <c r="Q47" s="11"/>
      <c r="AL47" s="56" t="str">
        <f>IF(R17&lt;&gt;"",R17,"")</f>
        <v/>
      </c>
      <c r="AM47" s="1">
        <v>40</v>
      </c>
      <c r="AU47" s="56">
        <v>43</v>
      </c>
      <c r="AV47">
        <v>666</v>
      </c>
      <c r="AW47" t="s">
        <v>291</v>
      </c>
      <c r="AX47" s="85">
        <f>AF17</f>
        <v>0</v>
      </c>
      <c r="AY47" s="84">
        <f>AG17</f>
        <v>0</v>
      </c>
      <c r="AZ47" s="48"/>
      <c r="BA47" s="84"/>
      <c r="BB47" s="84"/>
      <c r="BC47" s="84"/>
      <c r="BD47" s="84"/>
      <c r="BE47" s="84"/>
      <c r="BF47" s="84"/>
      <c r="BG47" s="59"/>
      <c r="BH47" s="59"/>
      <c r="BI47" s="59"/>
      <c r="BJ47" s="59"/>
      <c r="BK47" s="59"/>
      <c r="BL47" s="84"/>
      <c r="BM47" s="84"/>
      <c r="BN47" s="84"/>
      <c r="BO47" s="84"/>
      <c r="BP47" s="84"/>
      <c r="BQ47" s="84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84"/>
      <c r="CC47" s="84"/>
      <c r="CD47" s="84"/>
      <c r="CE47" s="84"/>
      <c r="CF47" s="84"/>
      <c r="CG47" s="59"/>
      <c r="CH47" s="59"/>
      <c r="CI47" s="59"/>
      <c r="CJ47" s="59"/>
      <c r="CK47" s="59"/>
      <c r="CL47" s="59"/>
      <c r="CM47" s="59"/>
      <c r="CN47" s="59"/>
      <c r="CO47" s="59"/>
      <c r="CP47" s="59"/>
    </row>
    <row r="48" spans="2:94" s="2" customFormat="1" ht="19.5" customHeight="1" x14ac:dyDescent="0.3">
      <c r="C48" s="21" t="e">
        <f>IF(VLOOKUP($E$1,#REF!,33,0)="م",9,"")</f>
        <v>#REF!</v>
      </c>
      <c r="D48" s="4" t="s">
        <v>221</v>
      </c>
      <c r="AL48" s="56" t="str">
        <f>IF(R18&lt;&gt;"",R18,"")</f>
        <v/>
      </c>
      <c r="AU48" s="56">
        <v>44</v>
      </c>
      <c r="AV48">
        <v>667</v>
      </c>
      <c r="AW48" t="s">
        <v>292</v>
      </c>
      <c r="AX48" s="85">
        <f t="shared" ref="AX48:AY48" si="44">AF18</f>
        <v>0</v>
      </c>
      <c r="AY48" s="84">
        <f t="shared" si="44"/>
        <v>0</v>
      </c>
      <c r="AZ48" s="48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</row>
    <row r="49" spans="2:56" s="2" customFormat="1" ht="19.5" customHeight="1" x14ac:dyDescent="0.25">
      <c r="B49" s="25"/>
      <c r="C49" s="25" t="e">
        <f>IF(VLOOKUP($E$1,#REF!,34,0)="م",10,"")</f>
        <v>#REF!</v>
      </c>
      <c r="D49" s="4" t="s">
        <v>223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AL49" s="56" t="str">
        <f>IF(R19&lt;&gt;"",R19,"")</f>
        <v/>
      </c>
      <c r="AM49" s="1">
        <v>41</v>
      </c>
      <c r="AU49" s="56">
        <v>45</v>
      </c>
      <c r="AV49">
        <v>668</v>
      </c>
      <c r="AW49" t="s">
        <v>293</v>
      </c>
      <c r="AX49" s="85">
        <f t="shared" ref="AX49:AY49" si="45">AF19</f>
        <v>0</v>
      </c>
      <c r="AY49" s="84">
        <f t="shared" si="45"/>
        <v>0</v>
      </c>
      <c r="AZ49" s="48"/>
      <c r="BC49" s="42"/>
      <c r="BD49" s="42"/>
    </row>
    <row r="50" spans="2:56" s="2" customFormat="1" ht="17.25" customHeight="1" x14ac:dyDescent="0.25">
      <c r="B50" s="25"/>
      <c r="C50" s="25" t="e">
        <f>IF(VLOOKUP($E$1,#REF!,35,0)="م",11,"")</f>
        <v>#REF!</v>
      </c>
      <c r="D50" s="4" t="s">
        <v>224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AL50" s="56" t="str">
        <f>IF(R20&lt;&gt;"",R20,"")</f>
        <v/>
      </c>
      <c r="AM50" s="1">
        <v>42</v>
      </c>
      <c r="AU50" s="56">
        <v>46</v>
      </c>
      <c r="AV50">
        <v>669</v>
      </c>
      <c r="AW50" t="s">
        <v>294</v>
      </c>
      <c r="AX50" s="85">
        <f t="shared" ref="AX50:AY50" si="46">AF20</f>
        <v>0</v>
      </c>
      <c r="AY50" s="84">
        <f t="shared" si="46"/>
        <v>0</v>
      </c>
      <c r="AZ50" s="48"/>
      <c r="BC50" s="51"/>
      <c r="BD50" s="51"/>
    </row>
    <row r="51" spans="2:56" s="2" customFormat="1" ht="19.5" customHeight="1" x14ac:dyDescent="0.25">
      <c r="B51" s="12"/>
      <c r="C51" s="12"/>
      <c r="D51" s="12"/>
      <c r="E51" s="12"/>
      <c r="F51" s="12"/>
      <c r="G51" s="12"/>
      <c r="H51" s="13"/>
      <c r="I51" s="13"/>
      <c r="J51" s="13"/>
      <c r="K51" s="7"/>
      <c r="L51" s="7"/>
      <c r="M51" s="13"/>
      <c r="N51" s="13"/>
      <c r="O51" s="12"/>
      <c r="P51" s="12"/>
      <c r="Q51" s="12"/>
      <c r="AL51" s="56" t="str">
        <f>IF(R21&lt;&gt;"",R21,"")</f>
        <v/>
      </c>
      <c r="AM51" s="1">
        <v>43</v>
      </c>
      <c r="AU51" s="56">
        <v>47</v>
      </c>
      <c r="AV51">
        <v>670</v>
      </c>
      <c r="AW51" t="s">
        <v>295</v>
      </c>
      <c r="AX51" s="85">
        <f t="shared" ref="AX51:AY51" si="47">AF21</f>
        <v>0</v>
      </c>
      <c r="AY51" s="84">
        <f t="shared" si="47"/>
        <v>0</v>
      </c>
      <c r="AZ51" s="48"/>
      <c r="BC51" s="42"/>
      <c r="BD51" s="42"/>
    </row>
    <row r="52" spans="2:56" s="2" customFormat="1" ht="17.25" customHeight="1" x14ac:dyDescent="0.25">
      <c r="B52" s="13"/>
      <c r="C52" s="13"/>
      <c r="D52" s="13"/>
      <c r="E52" s="13"/>
      <c r="F52" s="13"/>
      <c r="G52" s="13"/>
      <c r="O52" s="13"/>
      <c r="P52" s="13"/>
      <c r="Q52" s="13"/>
      <c r="AL52" s="56" t="str">
        <f>IF(Z17&lt;&gt;"",Z17,"")</f>
        <v/>
      </c>
      <c r="AM52" s="1">
        <v>44</v>
      </c>
      <c r="AU52" s="56">
        <v>48</v>
      </c>
      <c r="AV52">
        <v>671</v>
      </c>
      <c r="AW52" t="s">
        <v>296</v>
      </c>
      <c r="AX52" s="85">
        <f t="shared" ref="AX52:AY52" si="48">AF22</f>
        <v>0</v>
      </c>
      <c r="AY52" s="84">
        <f t="shared" si="48"/>
        <v>0</v>
      </c>
      <c r="AZ52" s="48"/>
      <c r="BC52" s="49"/>
      <c r="BD52" s="49"/>
    </row>
    <row r="53" spans="2:56" s="2" customFormat="1" ht="21.75" customHeight="1" x14ac:dyDescent="0.6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AL53" s="56" t="str">
        <f>IF(Z18&lt;&gt;"",Z18,"")</f>
        <v/>
      </c>
      <c r="AM53" s="1">
        <v>45</v>
      </c>
      <c r="AU53" s="56"/>
      <c r="AV53"/>
      <c r="AW53"/>
      <c r="AX53" s="70"/>
      <c r="AY53" s="70"/>
      <c r="AZ53" s="48"/>
      <c r="BC53" s="42"/>
      <c r="BD53" s="42"/>
    </row>
    <row r="54" spans="2:56" s="2" customFormat="1" ht="21.75" customHeight="1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7"/>
      <c r="O54" s="7"/>
      <c r="P54" s="7"/>
      <c r="Q54" s="7"/>
      <c r="AL54" s="56" t="str">
        <f>IF(Z19&lt;&gt;"",Z19,"")</f>
        <v/>
      </c>
      <c r="AM54" s="1">
        <v>46</v>
      </c>
      <c r="AU54" s="56"/>
      <c r="AV54"/>
      <c r="AW54"/>
      <c r="AX54" s="70"/>
      <c r="AY54" s="70"/>
      <c r="AZ54" s="48"/>
      <c r="BC54" s="51"/>
      <c r="BD54" s="51"/>
    </row>
    <row r="55" spans="2:56" s="2" customFormat="1" ht="21.75" customHeight="1" x14ac:dyDescent="0.25">
      <c r="B55" s="15"/>
      <c r="C55" s="15"/>
      <c r="D55" s="15"/>
      <c r="E55" s="14"/>
      <c r="F55" s="15"/>
      <c r="G55" s="15"/>
      <c r="H55" s="15"/>
      <c r="I55" s="15"/>
      <c r="J55" s="15"/>
      <c r="K55" s="15"/>
      <c r="L55" s="15"/>
      <c r="M55" s="15"/>
      <c r="N55" s="8"/>
      <c r="O55" s="8"/>
      <c r="P55" s="8"/>
      <c r="Q55" s="8"/>
      <c r="AL55" s="56" t="str">
        <f>IF(Z20&lt;&gt;"",Z20,"")</f>
        <v/>
      </c>
      <c r="AM55" s="1">
        <v>47</v>
      </c>
      <c r="AN55" s="1">
        <v>47</v>
      </c>
      <c r="AO55" s="1">
        <v>47</v>
      </c>
      <c r="AP55" s="1">
        <v>47</v>
      </c>
      <c r="AQ55" s="1">
        <v>47</v>
      </c>
      <c r="AR55" s="1">
        <v>47</v>
      </c>
      <c r="AS55" s="1">
        <v>47</v>
      </c>
      <c r="AT55" s="1">
        <v>47</v>
      </c>
      <c r="AU55" s="56"/>
      <c r="AV55"/>
      <c r="AW55"/>
      <c r="AX55" s="70"/>
      <c r="AY55" s="70"/>
      <c r="AZ55" s="48"/>
      <c r="BC55" s="51"/>
      <c r="BD55" s="51"/>
    </row>
    <row r="56" spans="2:56" s="2" customFormat="1" ht="21" x14ac:dyDescent="0.4">
      <c r="B56" s="16"/>
      <c r="C56" s="20"/>
      <c r="D56" s="20"/>
      <c r="E56" s="20"/>
      <c r="F56" s="20"/>
      <c r="G56" s="20"/>
      <c r="H56" s="20"/>
      <c r="I56" s="16"/>
      <c r="J56" s="16"/>
      <c r="K56" s="17"/>
      <c r="L56" s="18"/>
      <c r="M56" s="18"/>
      <c r="N56" s="19"/>
      <c r="O56" s="19"/>
      <c r="P56" s="19"/>
      <c r="Q56" s="19"/>
      <c r="AL56" s="56" t="str">
        <f>IF(Z21&lt;&gt;"",Z21,"")</f>
        <v/>
      </c>
      <c r="AM56" s="1">
        <v>48</v>
      </c>
      <c r="AU56" s="56"/>
      <c r="AV56"/>
      <c r="AW56"/>
      <c r="AX56" s="70"/>
      <c r="AY56" s="70"/>
      <c r="AZ56" s="70"/>
      <c r="BA56" s="70"/>
      <c r="BB56" s="70"/>
    </row>
    <row r="57" spans="2:56" ht="14.25" customHeight="1" thickBot="1" x14ac:dyDescent="0.3">
      <c r="AL57" s="52"/>
    </row>
    <row r="58" spans="2:56" ht="14.25" customHeight="1" thickTop="1" x14ac:dyDescent="0.25"/>
  </sheetData>
  <sheetProtection selectLockedCells="1"/>
  <mergeCells count="145">
    <mergeCell ref="C36:H36"/>
    <mergeCell ref="C34:H34"/>
    <mergeCell ref="AE4:AI4"/>
    <mergeCell ref="AB4:AC4"/>
    <mergeCell ref="L4:N4"/>
    <mergeCell ref="O4:P4"/>
    <mergeCell ref="Q4:T4"/>
    <mergeCell ref="AH1:AI1"/>
    <mergeCell ref="AH2:AI2"/>
    <mergeCell ref="AH3:AI3"/>
    <mergeCell ref="E3:G3"/>
    <mergeCell ref="X1:Z1"/>
    <mergeCell ref="AE1:AG1"/>
    <mergeCell ref="H2:N2"/>
    <mergeCell ref="X2:Z2"/>
    <mergeCell ref="AB2:AC2"/>
    <mergeCell ref="AE2:AG2"/>
    <mergeCell ref="X3:Z3"/>
    <mergeCell ref="AE3:AG3"/>
    <mergeCell ref="Q3:T3"/>
    <mergeCell ref="U3:V3"/>
    <mergeCell ref="H3:J3"/>
    <mergeCell ref="L3:N3"/>
    <mergeCell ref="O3:P3"/>
    <mergeCell ref="C4:D4"/>
    <mergeCell ref="C2:D2"/>
    <mergeCell ref="E2:G2"/>
    <mergeCell ref="O2:P2"/>
    <mergeCell ref="AB5:AC5"/>
    <mergeCell ref="E4:G4"/>
    <mergeCell ref="H4:J4"/>
    <mergeCell ref="U4:V4"/>
    <mergeCell ref="B3:D3"/>
    <mergeCell ref="X4:Z4"/>
    <mergeCell ref="Q5:T5"/>
    <mergeCell ref="X5:Z5"/>
    <mergeCell ref="C5:E5"/>
    <mergeCell ref="F5:N5"/>
    <mergeCell ref="O5:P5"/>
    <mergeCell ref="U5:V5"/>
    <mergeCell ref="O1:P1"/>
    <mergeCell ref="C1:D1"/>
    <mergeCell ref="E1:G1"/>
    <mergeCell ref="H1:J1"/>
    <mergeCell ref="L1:N1"/>
    <mergeCell ref="U1:V1"/>
    <mergeCell ref="AB3:AC3"/>
    <mergeCell ref="AB1:AC1"/>
    <mergeCell ref="U2:V2"/>
    <mergeCell ref="Q2:T2"/>
    <mergeCell ref="Q1:T1"/>
    <mergeCell ref="AC22:AE22"/>
    <mergeCell ref="U22:W22"/>
    <mergeCell ref="M17:O17"/>
    <mergeCell ref="AH12:AJ19"/>
    <mergeCell ref="U9:W9"/>
    <mergeCell ref="AC10:AE10"/>
    <mergeCell ref="AC17:AE17"/>
    <mergeCell ref="U18:W18"/>
    <mergeCell ref="U10:W10"/>
    <mergeCell ref="AC9:AE9"/>
    <mergeCell ref="AC11:AE11"/>
    <mergeCell ref="T16:AG16"/>
    <mergeCell ref="AC19:AE19"/>
    <mergeCell ref="AH9:AJ9"/>
    <mergeCell ref="AH10:AJ11"/>
    <mergeCell ref="U11:W11"/>
    <mergeCell ref="AC13:AE13"/>
    <mergeCell ref="W27:Y27"/>
    <mergeCell ref="D11:G11"/>
    <mergeCell ref="D13:G13"/>
    <mergeCell ref="D12:G12"/>
    <mergeCell ref="U8:W8"/>
    <mergeCell ref="B16:Q16"/>
    <mergeCell ref="U19:W19"/>
    <mergeCell ref="M19:O19"/>
    <mergeCell ref="U20:W20"/>
    <mergeCell ref="U17:W17"/>
    <mergeCell ref="M12:O12"/>
    <mergeCell ref="M11:O11"/>
    <mergeCell ref="M10:O10"/>
    <mergeCell ref="D19:G19"/>
    <mergeCell ref="D17:G17"/>
    <mergeCell ref="D18:G18"/>
    <mergeCell ref="M18:O18"/>
    <mergeCell ref="A14:P14"/>
    <mergeCell ref="M13:O13"/>
    <mergeCell ref="T6:AG6"/>
    <mergeCell ref="B6:R6"/>
    <mergeCell ref="D8:G8"/>
    <mergeCell ref="D9:G9"/>
    <mergeCell ref="M8:O8"/>
    <mergeCell ref="M9:O9"/>
    <mergeCell ref="D10:G10"/>
    <mergeCell ref="AC12:AE12"/>
    <mergeCell ref="AC18:AE18"/>
    <mergeCell ref="AC8:AE8"/>
    <mergeCell ref="P30:U30"/>
    <mergeCell ref="W30:AA30"/>
    <mergeCell ref="AC30:AE30"/>
    <mergeCell ref="T28:V28"/>
    <mergeCell ref="W28:Y28"/>
    <mergeCell ref="B7:I7"/>
    <mergeCell ref="L7:Q7"/>
    <mergeCell ref="T7:Y7"/>
    <mergeCell ref="AB7:AG7"/>
    <mergeCell ref="U21:W21"/>
    <mergeCell ref="U12:W12"/>
    <mergeCell ref="T27:V27"/>
    <mergeCell ref="M23:O23"/>
    <mergeCell ref="D23:G23"/>
    <mergeCell ref="M21:O21"/>
    <mergeCell ref="D22:G22"/>
    <mergeCell ref="M22:O22"/>
    <mergeCell ref="D21:G21"/>
    <mergeCell ref="U13:W13"/>
    <mergeCell ref="T14:AF14"/>
    <mergeCell ref="AC20:AE20"/>
    <mergeCell ref="AC21:AE21"/>
    <mergeCell ref="M20:O20"/>
    <mergeCell ref="D20:G20"/>
    <mergeCell ref="C38:H38"/>
    <mergeCell ref="C37:H37"/>
    <mergeCell ref="C35:H35"/>
    <mergeCell ref="C33:H33"/>
    <mergeCell ref="Z28:AF28"/>
    <mergeCell ref="C31:H31"/>
    <mergeCell ref="J31:AF32"/>
    <mergeCell ref="C32:H32"/>
    <mergeCell ref="C27:H27"/>
    <mergeCell ref="N27:R27"/>
    <mergeCell ref="Z27:AC27"/>
    <mergeCell ref="AD27:AG27"/>
    <mergeCell ref="C28:H28"/>
    <mergeCell ref="L28:M28"/>
    <mergeCell ref="N28:R28"/>
    <mergeCell ref="C29:H29"/>
    <mergeCell ref="N29:R29"/>
    <mergeCell ref="T29:V29"/>
    <mergeCell ref="W29:Y29"/>
    <mergeCell ref="Z29:AC29"/>
    <mergeCell ref="AD29:AG29"/>
    <mergeCell ref="L29:M29"/>
    <mergeCell ref="L27:M27"/>
    <mergeCell ref="C30:H30"/>
  </mergeCells>
  <phoneticPr fontId="63" type="noConversion"/>
  <conditionalFormatting sqref="A6 S6:AG6 J7:L7 R7:T7 Z7:AB7 A7:B23 C8:G13 T8:W13 X8:AG15 H8:S23 U14:W15 C14:D16 T14:T16 E14:G23 W15:Y15 C17:G22 T17:AG22 C23:D23 A24:AG27 A28:W28 Z28 AG28 A29:AG32 A33:C35 I33:AG37 C36:C38 A36:B48 E38:AG48 C40:D48 A49:AG1048576">
    <cfRule type="expression" dxfId="33" priority="10">
      <formula>$E$2="مستنفذ"</formula>
    </cfRule>
  </conditionalFormatting>
  <conditionalFormatting sqref="B6">
    <cfRule type="expression" dxfId="32" priority="48">
      <formula>$E$2="مستنفذ"</formula>
    </cfRule>
  </conditionalFormatting>
  <conditionalFormatting sqref="K8:K13 S8:S13 AA8:AA13 K17:K22 S17:S22 AA17:AA22">
    <cfRule type="expression" dxfId="31" priority="41">
      <formula>$E$2="معاقب"</formula>
    </cfRule>
  </conditionalFormatting>
  <dataValidations count="4">
    <dataValidation type="list" allowBlank="1" showInputMessage="1" showErrorMessage="1" sqref="N29" xr:uid="{00000000-0002-0000-0200-000000000000}">
      <formula1>$BC$4:$BC$5</formula1>
    </dataValidation>
    <dataValidation type="list" allowBlank="1" showInputMessage="1" showErrorMessage="1" sqref="F5:N5" xr:uid="{00000000-0002-0000-0200-000001000000}">
      <formula1>$AO$1:$AO$9</formula1>
    </dataValidation>
    <dataValidation type="custom" allowBlank="1" showInputMessage="1" showErrorMessage="1" error="يجب أن تقوم أولاً بملئ المعلومات المطلوبة في صفحة ادخال البيانات ومن ثم اختر المقررات التي ترغب بتسجيلها" sqref="H8:H13 P8:P12 X8:X13 AF8:AF13 AF17:AF22 X17:X22 P17:P23 H17:H23" xr:uid="{00000000-0002-0000-0200-000002000000}">
      <formula1>$AK$4=0</formula1>
    </dataValidation>
    <dataValidation type="list" allowBlank="1" showInputMessage="1" showErrorMessage="1" sqref="I8:I13 Y17:Y22 AG17:AG22 AG8:AG13 Y8:Y13 Q17:Q23 I17:I23 Q8:Q13" xr:uid="{00000000-0002-0000-0200-000003000000}">
      <formula1>$M$40:$M$43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P44"/>
  <sheetViews>
    <sheetView showGridLines="0" rightToLeft="1" workbookViewId="0">
      <selection activeCell="B8" sqref="B8:R9"/>
    </sheetView>
  </sheetViews>
  <sheetFormatPr defaultColWidth="9" defaultRowHeight="15" x14ac:dyDescent="0.25"/>
  <cols>
    <col min="1" max="1" width="3.8984375" style="87" customWidth="1"/>
    <col min="2" max="2" width="5.5" style="87" customWidth="1"/>
    <col min="3" max="3" width="4.5" style="87" customWidth="1"/>
    <col min="4" max="4" width="4.09765625" style="87" customWidth="1"/>
    <col min="5" max="5" width="8" style="98" customWidth="1"/>
    <col min="6" max="6" width="7.09765625" style="98" customWidth="1"/>
    <col min="7" max="7" width="3.8984375" style="98" customWidth="1"/>
    <col min="8" max="8" width="5.5" style="98" customWidth="1"/>
    <col min="9" max="10" width="7.5" style="87" customWidth="1"/>
    <col min="11" max="11" width="5.8984375" style="87" customWidth="1"/>
    <col min="12" max="12" width="3.5" style="87" customWidth="1"/>
    <col min="13" max="13" width="7.09765625" style="98" customWidth="1"/>
    <col min="14" max="14" width="8.5" style="98" customWidth="1"/>
    <col min="15" max="15" width="6.3984375" style="98" customWidth="1"/>
    <col min="16" max="16" width="4.3984375" style="87" customWidth="1"/>
    <col min="17" max="17" width="5.5" style="87" customWidth="1"/>
    <col min="18" max="18" width="2.5" style="87" customWidth="1"/>
    <col min="19" max="19" width="7.19921875" style="87" customWidth="1"/>
    <col min="20" max="29" width="7.19921875" style="87" hidden="1" customWidth="1"/>
    <col min="30" max="41" width="9" style="87" hidden="1" customWidth="1"/>
    <col min="42" max="42" width="43" style="87" hidden="1" customWidth="1"/>
    <col min="43" max="16374" width="0" style="87" hidden="1" customWidth="1"/>
    <col min="16375" max="16383" width="9" style="87" customWidth="1"/>
    <col min="16384" max="16384" width="9" style="87"/>
  </cols>
  <sheetData>
    <row r="1" spans="1:42" ht="16.95" customHeight="1" thickBot="1" x14ac:dyDescent="0.3">
      <c r="A1" s="1"/>
      <c r="B1" s="446">
        <f ca="1">NOW()</f>
        <v>45734.445588310184</v>
      </c>
      <c r="C1" s="446"/>
      <c r="D1" s="446"/>
      <c r="E1" s="446"/>
      <c r="F1" s="458" t="s">
        <v>299</v>
      </c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T1" s="74" t="b">
        <f>IF(OR(H12=1,H12=2,H12=3),IF(OR($E$22=$AP$7,$AP$9=BL13),0,IF($E$22=$AP$2,IF(H12=1,4000,IF(H12=2,5200,IF(H12=3,6000,""))),IF(OR($E$22=$AP$3,$E$22=$AP$6),IF(H12=1,2500,IF(H12=2,3250,IF(H12=3,3750,""))),IF($E$22=$AP$4,500,IF(OR($E$22=$AP$1,$E$22=$AP$5,$E$22=$AP$8),IF(H12=1,4000,IF(H12=2,5500,IF(H12=3,6500,""))),IF(H12=1,5000,IF(H12=2,6500,IF(H12=3,7500,"")))))))))</f>
        <v>0</v>
      </c>
      <c r="X1" s="1"/>
      <c r="Y1" s="1"/>
      <c r="Z1" s="1"/>
      <c r="AA1" s="1"/>
      <c r="AB1" s="1"/>
      <c r="AC1" s="423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D1" s="423"/>
      <c r="AE1" s="423"/>
      <c r="AF1" s="423"/>
      <c r="AG1" s="423"/>
      <c r="AH1" s="424"/>
      <c r="AI1" s="118"/>
      <c r="AJ1" s="120">
        <f>COUNT(AA3:AA21)</f>
        <v>19</v>
      </c>
      <c r="AP1" s="52" t="s">
        <v>70</v>
      </c>
    </row>
    <row r="2" spans="1:42" ht="17.25" customHeight="1" thickBot="1" x14ac:dyDescent="0.3">
      <c r="A2" s="1"/>
      <c r="B2" s="447" t="s">
        <v>181</v>
      </c>
      <c r="C2" s="448"/>
      <c r="D2" s="449">
        <f>'اختيار المقررات'!E1</f>
        <v>0</v>
      </c>
      <c r="E2" s="449"/>
      <c r="F2" s="450" t="s">
        <v>3</v>
      </c>
      <c r="G2" s="450"/>
      <c r="H2" s="451">
        <f>'اختيار المقررات'!L1</f>
        <v>0</v>
      </c>
      <c r="I2" s="451"/>
      <c r="J2" s="451"/>
      <c r="K2" s="450" t="s">
        <v>4</v>
      </c>
      <c r="L2" s="450"/>
      <c r="M2" s="452">
        <f>'اختيار المقررات'!Q1</f>
        <v>0</v>
      </c>
      <c r="N2" s="452"/>
      <c r="O2" s="121" t="s">
        <v>5</v>
      </c>
      <c r="P2" s="452">
        <f>'اختيار المقررات'!W1</f>
        <v>0</v>
      </c>
      <c r="Q2" s="452"/>
      <c r="R2" s="455"/>
      <c r="T2" s="74" t="b">
        <f>IF(OR(H13=1,H13=2,H13=3),IF(OR($E$22=$AP$7,$AP$9=BL14),0,IF($E$22=$AP$2,IF(H13=1,4000,IF(H13=2,5200,IF(H13=3,6000,""))),IF(OR($E$22=$AP$3,$E$22=$AP$6),IF(H13=1,2500,IF(H13=2,3250,IF(H13=3,3750,""))),IF($E$22=$AP$4,500,IF(OR($E$22=$AP$1,$E$22=$AP$5,$E$22=$AP$8),IF(H13=1,4000,IF(H13=2,5500,IF(H13=3,6500,""))),IF(H13=1,5000,IF(H13=2,6500,IF(H13=3,7500,"")))))))))</f>
        <v>0</v>
      </c>
      <c r="X2" s="1"/>
      <c r="Y2" s="1"/>
      <c r="Z2" s="1"/>
      <c r="AA2" s="1"/>
      <c r="AB2" s="1"/>
      <c r="AC2" s="423"/>
      <c r="AD2" s="423"/>
      <c r="AE2" s="423"/>
      <c r="AF2" s="423"/>
      <c r="AG2" s="423"/>
      <c r="AH2" s="424"/>
      <c r="AI2" s="119" t="s">
        <v>222</v>
      </c>
      <c r="AJ2" s="1"/>
      <c r="AP2" s="56" t="s">
        <v>71</v>
      </c>
    </row>
    <row r="3" spans="1:42" ht="18.75" customHeight="1" thickTop="1" thickBot="1" x14ac:dyDescent="0.3">
      <c r="A3" s="1"/>
      <c r="B3" s="434" t="s">
        <v>182</v>
      </c>
      <c r="C3" s="435"/>
      <c r="D3" s="456">
        <f>'اختيار المقررات'!E2</f>
        <v>0</v>
      </c>
      <c r="E3" s="456"/>
      <c r="F3" s="408">
        <f>'اختيار المقررات'!Q2</f>
        <v>0</v>
      </c>
      <c r="G3" s="408"/>
      <c r="H3" s="393" t="s">
        <v>81</v>
      </c>
      <c r="I3" s="393"/>
      <c r="J3" s="459">
        <f>'اختيار المقررات'!W2</f>
        <v>0</v>
      </c>
      <c r="K3" s="459"/>
      <c r="L3" s="459"/>
      <c r="M3" s="180" t="s">
        <v>82</v>
      </c>
      <c r="N3" s="456">
        <f>'اختيار المقررات'!AB2</f>
        <v>0</v>
      </c>
      <c r="O3" s="456"/>
      <c r="P3" s="456"/>
      <c r="Q3" s="406" t="s">
        <v>83</v>
      </c>
      <c r="R3" s="457"/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B3" s="1"/>
      <c r="AC3" s="120"/>
      <c r="AD3" s="120"/>
      <c r="AE3" s="370" t="str">
        <f>IFERROR(VLOOKUP(AA3,$X$3:$Z$22,3,0),"")</f>
        <v>اسم الاب:</v>
      </c>
      <c r="AF3" s="370"/>
      <c r="AG3" s="370"/>
      <c r="AH3" s="120"/>
      <c r="AI3" s="120"/>
      <c r="AJ3" s="1"/>
      <c r="AP3" s="56" t="s">
        <v>45</v>
      </c>
    </row>
    <row r="4" spans="1:42" ht="16.8" thickTop="1" thickBot="1" x14ac:dyDescent="0.3">
      <c r="A4" s="1"/>
      <c r="B4" s="434" t="s">
        <v>183</v>
      </c>
      <c r="C4" s="435"/>
      <c r="D4" s="408">
        <f>'اختيار المقررات'!E3</f>
        <v>0</v>
      </c>
      <c r="E4" s="408"/>
      <c r="F4" s="443" t="s">
        <v>184</v>
      </c>
      <c r="G4" s="443"/>
      <c r="H4" s="405">
        <f>'اختيار المقررات'!AB1</f>
        <v>0</v>
      </c>
      <c r="I4" s="405"/>
      <c r="J4" s="122" t="s">
        <v>185</v>
      </c>
      <c r="K4" s="408">
        <f>'اختيار المقررات'!AE1</f>
        <v>0</v>
      </c>
      <c r="L4" s="408"/>
      <c r="M4" s="408"/>
      <c r="N4" s="456">
        <f>'اختيار المقررات'!H2</f>
        <v>0</v>
      </c>
      <c r="O4" s="456"/>
      <c r="P4" s="456"/>
      <c r="Q4" s="393" t="s">
        <v>80</v>
      </c>
      <c r="R4" s="460"/>
      <c r="X4" s="1">
        <v>2</v>
      </c>
      <c r="Y4" s="1">
        <f t="shared" ref="Y4:Y22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B4" s="1"/>
      <c r="AC4" s="120"/>
      <c r="AD4" s="120"/>
      <c r="AE4" s="370" t="str">
        <f t="shared" ref="AE4:AE22" si="2">IFERROR(VLOOKUP(AA4,$X$3:$Z$22,3,0),"")</f>
        <v>اسم الام:</v>
      </c>
      <c r="AF4" s="370"/>
      <c r="AG4" s="370"/>
      <c r="AH4" s="120"/>
      <c r="AI4" s="120"/>
      <c r="AJ4" s="1"/>
      <c r="AP4" s="42" t="s">
        <v>58</v>
      </c>
    </row>
    <row r="5" spans="1:42" ht="16.8" thickTop="1" thickBot="1" x14ac:dyDescent="0.3">
      <c r="A5" s="1"/>
      <c r="B5" s="434" t="s">
        <v>186</v>
      </c>
      <c r="C5" s="435"/>
      <c r="D5" s="408">
        <f>'اختيار المقررات'!L3</f>
        <v>0</v>
      </c>
      <c r="E5" s="408"/>
      <c r="F5" s="435" t="s">
        <v>187</v>
      </c>
      <c r="G5" s="435"/>
      <c r="H5" s="407">
        <f>'اختيار المقررات'!Q3</f>
        <v>0</v>
      </c>
      <c r="I5" s="407"/>
      <c r="J5" s="122" t="s">
        <v>188</v>
      </c>
      <c r="K5" s="407">
        <f>'اختيار المقررات'!AB3</f>
        <v>0</v>
      </c>
      <c r="L5" s="407"/>
      <c r="M5" s="407"/>
      <c r="N5" s="435" t="s">
        <v>189</v>
      </c>
      <c r="O5" s="435"/>
      <c r="P5" s="408" t="str">
        <f>'اختيار المقررات'!W3</f>
        <v>غير سوري</v>
      </c>
      <c r="Q5" s="408"/>
      <c r="R5" s="409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B5" s="1"/>
      <c r="AC5" s="120"/>
      <c r="AD5" s="120"/>
      <c r="AE5" s="370" t="str">
        <f t="shared" si="2"/>
        <v>Full Name</v>
      </c>
      <c r="AF5" s="370"/>
      <c r="AG5" s="370"/>
      <c r="AH5" s="120"/>
      <c r="AI5" s="120"/>
      <c r="AJ5" s="1"/>
      <c r="AP5" s="56" t="s">
        <v>140</v>
      </c>
    </row>
    <row r="6" spans="1:42" ht="15.75" customHeight="1" thickTop="1" thickBot="1" x14ac:dyDescent="0.3">
      <c r="A6" s="1"/>
      <c r="B6" s="454" t="s">
        <v>190</v>
      </c>
      <c r="C6" s="443"/>
      <c r="D6" s="408">
        <f>'اختيار المقررات'!AE3</f>
        <v>0</v>
      </c>
      <c r="E6" s="408"/>
      <c r="F6" s="443" t="s">
        <v>191</v>
      </c>
      <c r="G6" s="443"/>
      <c r="H6" s="408">
        <f>'اختيار المقررات'!E4</f>
        <v>0</v>
      </c>
      <c r="I6" s="408"/>
      <c r="J6" s="123" t="s">
        <v>192</v>
      </c>
      <c r="K6" s="407">
        <f>'اختيار المقررات'!Q4</f>
        <v>0</v>
      </c>
      <c r="L6" s="407"/>
      <c r="M6" s="407"/>
      <c r="N6" s="443" t="s">
        <v>193</v>
      </c>
      <c r="O6" s="443"/>
      <c r="P6" s="408">
        <f>'اختيار المقررات'!L4</f>
        <v>0</v>
      </c>
      <c r="Q6" s="408"/>
      <c r="R6" s="409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B6" s="1"/>
      <c r="AC6" s="120"/>
      <c r="AD6" s="120"/>
      <c r="AE6" s="370" t="str">
        <f t="shared" si="2"/>
        <v>Father Name</v>
      </c>
      <c r="AF6" s="370"/>
      <c r="AG6" s="370"/>
      <c r="AH6" s="120"/>
      <c r="AI6" s="120"/>
      <c r="AJ6" s="1"/>
      <c r="AP6" s="56" t="s">
        <v>72</v>
      </c>
    </row>
    <row r="7" spans="1:42" ht="15" customHeight="1" thickTop="1" thickBot="1" x14ac:dyDescent="0.3">
      <c r="A7" s="1"/>
      <c r="B7" s="436" t="s">
        <v>194</v>
      </c>
      <c r="C7" s="411"/>
      <c r="D7" s="444">
        <f>'اختيار المقررات'!W4</f>
        <v>0</v>
      </c>
      <c r="E7" s="445"/>
      <c r="F7" s="411" t="s">
        <v>195</v>
      </c>
      <c r="G7" s="411"/>
      <c r="H7" s="412">
        <f>'اختيار المقررات'!AB4</f>
        <v>0</v>
      </c>
      <c r="I7" s="413"/>
      <c r="J7" s="124" t="s">
        <v>68</v>
      </c>
      <c r="K7" s="445">
        <f>'اختيار المقررات'!AE4</f>
        <v>0</v>
      </c>
      <c r="L7" s="445"/>
      <c r="M7" s="445"/>
      <c r="N7" s="445"/>
      <c r="O7" s="445"/>
      <c r="P7" s="445"/>
      <c r="Q7" s="445"/>
      <c r="R7" s="453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B7" s="1"/>
      <c r="AC7" s="120"/>
      <c r="AD7" s="120"/>
      <c r="AE7" s="370" t="str">
        <f t="shared" si="2"/>
        <v>Mother Name</v>
      </c>
      <c r="AF7" s="370"/>
      <c r="AG7" s="370"/>
      <c r="AH7" s="120"/>
      <c r="AI7" s="120"/>
      <c r="AJ7" s="1"/>
      <c r="AP7" s="56" t="s">
        <v>8</v>
      </c>
    </row>
    <row r="8" spans="1:42" ht="18" customHeight="1" thickTop="1" thickBot="1" x14ac:dyDescent="0.3">
      <c r="A8" s="1"/>
      <c r="B8" s="437" t="str">
        <f>IF(AC1&lt;&gt;"",AC1,AI2)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B8" s="1"/>
      <c r="AC8" s="120"/>
      <c r="AD8" s="120"/>
      <c r="AE8" s="370" t="str">
        <f t="shared" si="2"/>
        <v>الجنس:</v>
      </c>
      <c r="AF8" s="370"/>
      <c r="AG8" s="370"/>
      <c r="AH8" s="120"/>
      <c r="AI8" s="120"/>
      <c r="AJ8" s="1"/>
      <c r="AP8" s="1" t="s">
        <v>141</v>
      </c>
    </row>
    <row r="9" spans="1:42" ht="18" customHeight="1" thickTop="1" thickBot="1" x14ac:dyDescent="0.3">
      <c r="A9" s="1"/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6"/>
      <c r="T9" s="46"/>
      <c r="U9" s="46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B9" s="1"/>
      <c r="AC9" s="120"/>
      <c r="AD9" s="120"/>
      <c r="AE9" s="370" t="str">
        <f t="shared" si="2"/>
        <v>تاريخ الميلاد:</v>
      </c>
      <c r="AF9" s="370"/>
      <c r="AG9" s="370"/>
      <c r="AH9" s="120"/>
      <c r="AI9" s="120"/>
      <c r="AJ9" s="1"/>
      <c r="AP9" s="1" t="s">
        <v>15</v>
      </c>
    </row>
    <row r="10" spans="1:42" ht="16.5" customHeight="1" thickTop="1" thickBot="1" x14ac:dyDescent="0.3"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46"/>
      <c r="T10" s="46"/>
      <c r="U10" s="46"/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B10" s="1"/>
      <c r="AC10" s="120"/>
      <c r="AD10" s="120"/>
      <c r="AE10" s="370" t="str">
        <f t="shared" si="2"/>
        <v>مكان الميلاد:</v>
      </c>
      <c r="AF10" s="370"/>
      <c r="AG10" s="370"/>
      <c r="AH10" s="120"/>
      <c r="AI10" s="120"/>
      <c r="AJ10" s="1"/>
    </row>
    <row r="11" spans="1:42" ht="22.95" customHeight="1" thickTop="1" thickBot="1" x14ac:dyDescent="0.3">
      <c r="B11" s="89"/>
      <c r="C11" s="90" t="s">
        <v>28</v>
      </c>
      <c r="D11" s="440" t="s">
        <v>29</v>
      </c>
      <c r="E11" s="441"/>
      <c r="F11" s="441"/>
      <c r="G11" s="442"/>
      <c r="H11" s="91"/>
      <c r="I11" s="45" t="s">
        <v>9</v>
      </c>
      <c r="J11" s="89"/>
      <c r="K11" s="90" t="s">
        <v>28</v>
      </c>
      <c r="L11" s="440" t="s">
        <v>29</v>
      </c>
      <c r="M11" s="441"/>
      <c r="N11" s="441"/>
      <c r="O11" s="442"/>
      <c r="P11" s="91"/>
      <c r="Q11" s="45" t="s">
        <v>9</v>
      </c>
      <c r="R11" s="92"/>
      <c r="S11" s="46"/>
      <c r="T11" s="46"/>
      <c r="U11" s="47"/>
      <c r="V11" s="87" t="str">
        <f>IFERROR(SMALL('اختيار المقررات'!$AL$8:$AL$57,'اختيار المقررات'!AM8),"")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B11" s="1"/>
      <c r="AC11" s="120"/>
      <c r="AD11" s="120"/>
      <c r="AE11" s="370" t="str">
        <f t="shared" si="2"/>
        <v>place of birth</v>
      </c>
      <c r="AF11" s="370"/>
      <c r="AG11" s="370"/>
      <c r="AH11" s="120"/>
      <c r="AI11" s="120"/>
      <c r="AJ11" s="1"/>
    </row>
    <row r="12" spans="1:42" ht="17.399999999999999" customHeight="1" thickTop="1" thickBot="1" x14ac:dyDescent="0.3">
      <c r="B12" s="93" t="str">
        <f>IF(AJ1&gt;0,"",V11)</f>
        <v/>
      </c>
      <c r="C12" s="94" t="str">
        <f>IFERROR(VLOOKUP(B12,'اختيار المقررات'!AU5:AY55,2,0),"")</f>
        <v/>
      </c>
      <c r="D12" s="410" t="str">
        <f>IFERROR(VLOOKUP(B12,'اختيار المقررات'!AU5:AY55,3,0),"")</f>
        <v/>
      </c>
      <c r="E12" s="410"/>
      <c r="F12" s="410"/>
      <c r="G12" s="410"/>
      <c r="H12" s="95" t="str">
        <f>IFERROR(VLOOKUP(B12,'اختيار المقررات'!AU5:AY55,4,0),"")</f>
        <v/>
      </c>
      <c r="I12" s="86" t="str">
        <f>IFERROR(VLOOKUP(B12,'اختيار المقررات'!AU5:AY55,5,0),"")</f>
        <v/>
      </c>
      <c r="J12" s="93" t="str">
        <f>IF(AJ1&gt;0,"",V19)</f>
        <v/>
      </c>
      <c r="K12" s="94" t="str">
        <f>IFERROR(VLOOKUP(J12,'اختيار المقررات'!AU5:AY55,2,0),"")</f>
        <v/>
      </c>
      <c r="L12" s="410" t="str">
        <f>IFERROR(VLOOKUP(J12,'اختيار المقررات'!AU5:AY55,3,0),"")</f>
        <v/>
      </c>
      <c r="M12" s="410"/>
      <c r="N12" s="410"/>
      <c r="O12" s="410"/>
      <c r="P12" s="95" t="str">
        <f>IFERROR(VLOOKUP(J12,'اختيار المقررات'!AU5:AY55,4,0),"")</f>
        <v/>
      </c>
      <c r="Q12" s="86" t="str">
        <f>IFERROR(VLOOKUP(J12,'اختيار المقررات'!AU5:AY55,5,0),"")</f>
        <v/>
      </c>
      <c r="R12" s="47"/>
      <c r="T12" s="96"/>
      <c r="V12" s="87" t="str">
        <f>IFERROR(SMALL('اختيار المقررات'!$AL$8:$AL$57,'اختيار المقررات'!AM9),"")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B12" s="1"/>
      <c r="AC12" s="120"/>
      <c r="AD12" s="120"/>
      <c r="AE12" s="370" t="str">
        <f t="shared" si="2"/>
        <v>الجنسية:</v>
      </c>
      <c r="AF12" s="370"/>
      <c r="AG12" s="370"/>
      <c r="AH12" s="120"/>
      <c r="AI12" s="120"/>
      <c r="AJ12" s="1"/>
    </row>
    <row r="13" spans="1:42" ht="17.399999999999999" customHeight="1" thickTop="1" thickBot="1" x14ac:dyDescent="0.3">
      <c r="B13" s="93" t="str">
        <f t="shared" ref="B13:B19" si="3">IF(AJ2&gt;0,"",V12)</f>
        <v/>
      </c>
      <c r="C13" s="94" t="str">
        <f>IFERROR(VLOOKUP(B13,'اختيار المقررات'!AU6:AY56,2,0),"")</f>
        <v/>
      </c>
      <c r="D13" s="410" t="str">
        <f>IFERROR(VLOOKUP(B13,'اختيار المقررات'!AU6:AY56,3,0),"")</f>
        <v/>
      </c>
      <c r="E13" s="410"/>
      <c r="F13" s="410"/>
      <c r="G13" s="410"/>
      <c r="H13" s="95" t="str">
        <f>IFERROR(VLOOKUP(B13,'اختيار المقررات'!AU6:AY56,4,0),"")</f>
        <v/>
      </c>
      <c r="I13" s="86" t="str">
        <f>IFERROR(VLOOKUP(B13,'اختيار المقررات'!AU6:AY56,5,0),"")</f>
        <v/>
      </c>
      <c r="J13" s="93" t="str">
        <f t="shared" ref="J13:J19" si="4">IF(AJ2&gt;0,"",V20)</f>
        <v/>
      </c>
      <c r="K13" s="94" t="str">
        <f>IFERROR(VLOOKUP(J13,'اختيار المقررات'!AU6:AY56,2,0),"")</f>
        <v/>
      </c>
      <c r="L13" s="410" t="str">
        <f>IFERROR(VLOOKUP(J13,'اختيار المقررات'!AU6:AY56,3,0),"")</f>
        <v/>
      </c>
      <c r="M13" s="410"/>
      <c r="N13" s="410"/>
      <c r="O13" s="410"/>
      <c r="P13" s="95" t="str">
        <f>IFERROR(VLOOKUP(J13,'اختيار المقررات'!AU6:AY56,4,0),"")</f>
        <v/>
      </c>
      <c r="Q13" s="86" t="str">
        <f>IFERROR(VLOOKUP(J13,'اختيار المقررات'!AU6:AY56,5,0),"")</f>
        <v/>
      </c>
      <c r="R13" s="47"/>
      <c r="S13" s="96"/>
      <c r="T13" s="96"/>
      <c r="U13" s="97"/>
      <c r="V13" s="87" t="str">
        <f>IFERROR(SMALL('اختيار المقررات'!$AL$8:$AL$57,'اختيار المقررات'!AM10),"")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B13" s="1"/>
      <c r="AC13" s="120"/>
      <c r="AD13" s="120"/>
      <c r="AE13" s="370" t="str">
        <f t="shared" si="2"/>
        <v>الرقم الوطني:</v>
      </c>
      <c r="AF13" s="370"/>
      <c r="AG13" s="370"/>
      <c r="AH13" s="120"/>
      <c r="AI13" s="120"/>
      <c r="AJ13" s="1"/>
    </row>
    <row r="14" spans="1:42" ht="17.399999999999999" customHeight="1" thickTop="1" thickBot="1" x14ac:dyDescent="0.3">
      <c r="B14" s="93" t="str">
        <f t="shared" si="3"/>
        <v/>
      </c>
      <c r="C14" s="94" t="str">
        <f>IFERROR(VLOOKUP(B14,'اختيار المقررات'!AU7:AY56,2,0),"")</f>
        <v/>
      </c>
      <c r="D14" s="410" t="str">
        <f>IFERROR(VLOOKUP(B14,'اختيار المقررات'!AU7:AY56,3,0),"")</f>
        <v/>
      </c>
      <c r="E14" s="410"/>
      <c r="F14" s="410"/>
      <c r="G14" s="410"/>
      <c r="H14" s="95" t="str">
        <f>IFERROR(VLOOKUP(B14,'اختيار المقررات'!AU7:AY56,4,0),"")</f>
        <v/>
      </c>
      <c r="I14" s="86" t="str">
        <f>IFERROR(VLOOKUP(B14,'اختيار المقررات'!AU7:AY56,5,0),"")</f>
        <v/>
      </c>
      <c r="J14" s="93" t="str">
        <f t="shared" si="4"/>
        <v/>
      </c>
      <c r="K14" s="94" t="str">
        <f>IFERROR(VLOOKUP(J14,'اختيار المقررات'!AU7:AY56,2,0),"")</f>
        <v/>
      </c>
      <c r="L14" s="410" t="str">
        <f>IFERROR(VLOOKUP(J14,'اختيار المقررات'!AU7:AY56,3,0),"")</f>
        <v/>
      </c>
      <c r="M14" s="410"/>
      <c r="N14" s="410"/>
      <c r="O14" s="410"/>
      <c r="P14" s="95" t="str">
        <f>IFERROR(VLOOKUP(J14,'اختيار المقررات'!AU7:AY56,4,0),"")</f>
        <v/>
      </c>
      <c r="Q14" s="86" t="str">
        <f>IFERROR(VLOOKUP(J14,'اختيار المقررات'!AU7:AY56,5,0),"")</f>
        <v/>
      </c>
      <c r="R14" s="47"/>
      <c r="S14" s="96"/>
      <c r="T14" s="96"/>
      <c r="U14" s="97"/>
      <c r="V14" s="87" t="str">
        <f>IFERROR(SMALL('اختيار المقررات'!$AL$8:$AL$57,'اختيار المقررات'!AM11),"")</f>
        <v/>
      </c>
      <c r="X14" s="1">
        <v>12</v>
      </c>
      <c r="Y14" s="1">
        <f t="shared" si="0"/>
        <v>12</v>
      </c>
      <c r="Z14" s="1" t="str">
        <f>IF(LEN(K5)&lt;2,J5,"")</f>
        <v>مكان ورقم القيد:</v>
      </c>
      <c r="AA14" s="1">
        <f t="shared" si="1"/>
        <v>12</v>
      </c>
      <c r="AB14" s="1"/>
      <c r="AC14" s="120"/>
      <c r="AD14" s="120"/>
      <c r="AE14" s="370" t="str">
        <f t="shared" si="2"/>
        <v>مكان ورقم القيد:</v>
      </c>
      <c r="AF14" s="370"/>
      <c r="AG14" s="370"/>
      <c r="AH14" s="120"/>
      <c r="AI14" s="120"/>
      <c r="AJ14" s="1"/>
    </row>
    <row r="15" spans="1:42" ht="17.399999999999999" customHeight="1" thickTop="1" thickBot="1" x14ac:dyDescent="0.3">
      <c r="B15" s="93" t="str">
        <f t="shared" si="3"/>
        <v/>
      </c>
      <c r="C15" s="94" t="str">
        <f>IFERROR(VLOOKUP(B15,'اختيار المقررات'!AU8:AY56,2,0),"")</f>
        <v/>
      </c>
      <c r="D15" s="410" t="str">
        <f>IFERROR(VLOOKUP(B15,'اختيار المقررات'!AU8:AY56,3,0),"")</f>
        <v/>
      </c>
      <c r="E15" s="410"/>
      <c r="F15" s="410"/>
      <c r="G15" s="410"/>
      <c r="H15" s="95" t="str">
        <f>IFERROR(VLOOKUP(B15,'اختيار المقررات'!AU8:AY56,4,0),"")</f>
        <v/>
      </c>
      <c r="I15" s="86" t="str">
        <f>IFERROR(VLOOKUP(B15,'اختيار المقررات'!AU8:AY56,5,0),"")</f>
        <v/>
      </c>
      <c r="J15" s="93" t="str">
        <f t="shared" si="4"/>
        <v/>
      </c>
      <c r="K15" s="94" t="str">
        <f>IFERROR(VLOOKUP(J15,'اختيار المقررات'!AU8:AY56,2,0),"")</f>
        <v/>
      </c>
      <c r="L15" s="410" t="str">
        <f>IFERROR(VLOOKUP(J15,'اختيار المقررات'!AU8:AY56,3,0),"")</f>
        <v/>
      </c>
      <c r="M15" s="410"/>
      <c r="N15" s="410"/>
      <c r="O15" s="410"/>
      <c r="P15" s="95" t="str">
        <f>IFERROR(VLOOKUP(J15,'اختيار المقررات'!AU8:AY56,4,0),"")</f>
        <v/>
      </c>
      <c r="Q15" s="86" t="str">
        <f>IFERROR(VLOOKUP(J15,'اختيار المقررات'!AU8:AY56,5,0),"")</f>
        <v/>
      </c>
      <c r="R15" s="47"/>
      <c r="S15" s="96"/>
      <c r="T15" s="96"/>
      <c r="U15" s="97"/>
      <c r="V15" s="87" t="str">
        <f>IFERROR(SMALL('اختيار المقررات'!$AL$8:$AL$57,'اختيار المقررات'!AM12),"")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14</v>
      </c>
      <c r="AB15" s="1"/>
      <c r="AC15" s="120"/>
      <c r="AD15" s="120"/>
      <c r="AE15" s="370" t="str">
        <f t="shared" si="2"/>
        <v>شعبة التجنيد:</v>
      </c>
      <c r="AF15" s="370"/>
      <c r="AG15" s="370"/>
      <c r="AH15" s="120"/>
      <c r="AI15" s="120"/>
      <c r="AJ15" s="1"/>
    </row>
    <row r="16" spans="1:42" ht="17.399999999999999" customHeight="1" thickTop="1" thickBot="1" x14ac:dyDescent="0.3">
      <c r="B16" s="93" t="str">
        <f t="shared" si="3"/>
        <v/>
      </c>
      <c r="C16" s="94" t="str">
        <f>IFERROR(VLOOKUP(B16,'اختيار المقررات'!AU9:AY56,2,0),"")</f>
        <v/>
      </c>
      <c r="D16" s="410" t="str">
        <f>IFERROR(VLOOKUP(B16,'اختيار المقررات'!AU9:AY56,3,0),"")</f>
        <v/>
      </c>
      <c r="E16" s="410"/>
      <c r="F16" s="410"/>
      <c r="G16" s="410"/>
      <c r="H16" s="95" t="str">
        <f>IFERROR(VLOOKUP(B16,'اختيار المقررات'!AU9:AY56,4,0),"")</f>
        <v/>
      </c>
      <c r="I16" s="86" t="str">
        <f>IFERROR(VLOOKUP(B16,'اختيار المقررات'!AU9:AY56,5,0),"")</f>
        <v/>
      </c>
      <c r="J16" s="93" t="str">
        <f t="shared" si="4"/>
        <v/>
      </c>
      <c r="K16" s="94" t="str">
        <f>IFERROR(VLOOKUP(J16,'اختيار المقررات'!AU9:AY56,2,0),"")</f>
        <v/>
      </c>
      <c r="L16" s="410" t="str">
        <f>IFERROR(VLOOKUP(J16,'اختيار المقررات'!AU9:AY56,3,0),"")</f>
        <v/>
      </c>
      <c r="M16" s="410"/>
      <c r="N16" s="410"/>
      <c r="O16" s="410"/>
      <c r="P16" s="95" t="str">
        <f>IFERROR(VLOOKUP(J16,'اختيار المقررات'!AU9:AY56,4,0),"")</f>
        <v/>
      </c>
      <c r="Q16" s="86" t="str">
        <f>IFERROR(VLOOKUP(J16,'اختيار المقررات'!AU9:AY56,5,0),"")</f>
        <v/>
      </c>
      <c r="R16" s="47"/>
      <c r="S16" s="96"/>
      <c r="T16" s="96"/>
      <c r="U16" s="97"/>
      <c r="V16" s="87" t="str">
        <f>IFERROR(SMALL('اختيار المقررات'!$AL$8:$AL$57,'اختيار المقررات'!AM13),"")</f>
        <v/>
      </c>
      <c r="X16" s="1">
        <v>14</v>
      </c>
      <c r="Y16" s="1">
        <f t="shared" si="0"/>
        <v>14</v>
      </c>
      <c r="Z16" s="1" t="str">
        <f>IF(LEN(D6)&lt;2,B6,"")</f>
        <v>شعبة التجنيد:</v>
      </c>
      <c r="AA16" s="1">
        <f t="shared" si="1"/>
        <v>15</v>
      </c>
      <c r="AB16" s="1"/>
      <c r="AC16" s="120"/>
      <c r="AD16" s="120"/>
      <c r="AE16" s="370" t="str">
        <f t="shared" si="2"/>
        <v>نوع الثانوية:</v>
      </c>
      <c r="AF16" s="370"/>
      <c r="AG16" s="370"/>
      <c r="AH16" s="120"/>
      <c r="AI16" s="120"/>
      <c r="AJ16" s="1"/>
    </row>
    <row r="17" spans="1:36" ht="17.399999999999999" customHeight="1" thickTop="1" thickBot="1" x14ac:dyDescent="0.3">
      <c r="B17" s="93" t="str">
        <f t="shared" si="3"/>
        <v/>
      </c>
      <c r="C17" s="94" t="str">
        <f>IFERROR(VLOOKUP(B17,'اختيار المقررات'!AU10:AY56,2,0),"")</f>
        <v/>
      </c>
      <c r="D17" s="410" t="str">
        <f>IFERROR(VLOOKUP(B17,'اختيار المقررات'!AU10:AY56,3,0),"")</f>
        <v/>
      </c>
      <c r="E17" s="410"/>
      <c r="F17" s="410"/>
      <c r="G17" s="410"/>
      <c r="H17" s="95" t="str">
        <f>IFERROR(VLOOKUP(B17,'اختيار المقررات'!AU10:AY56,4,0),"")</f>
        <v/>
      </c>
      <c r="I17" s="86" t="str">
        <f>IFERROR(VLOOKUP(B17,'اختيار المقررات'!AU10:AY56,5,0),"")</f>
        <v/>
      </c>
      <c r="J17" s="93" t="str">
        <f t="shared" si="4"/>
        <v/>
      </c>
      <c r="K17" s="94" t="str">
        <f>IFERROR(VLOOKUP(J17,'اختيار المقررات'!AU10:AY56,2,0),"")</f>
        <v/>
      </c>
      <c r="L17" s="410" t="str">
        <f>IFERROR(VLOOKUP(J17,'اختيار المقررات'!AU10:AY56,3,0),"")</f>
        <v/>
      </c>
      <c r="M17" s="410"/>
      <c r="N17" s="410"/>
      <c r="O17" s="410"/>
      <c r="P17" s="95" t="str">
        <f>IFERROR(VLOOKUP(J17,'اختيار المقررات'!AU10:AY56,4,0),"")</f>
        <v/>
      </c>
      <c r="Q17" s="86" t="str">
        <f>IFERROR(VLOOKUP(J17,'اختيار المقررات'!AU10:AY56,5,0),"")</f>
        <v/>
      </c>
      <c r="R17" s="47"/>
      <c r="S17" s="96"/>
      <c r="T17" s="96"/>
      <c r="U17" s="97"/>
      <c r="V17" s="87" t="str">
        <f>IFERROR(SMALL('اختيار المقررات'!$AL$8:$AL$57,'اختيار المقررات'!AM14),"")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16</v>
      </c>
      <c r="AB17" s="1"/>
      <c r="AC17" s="120"/>
      <c r="AD17" s="120"/>
      <c r="AE17" s="370" t="str">
        <f t="shared" si="2"/>
        <v>محافظتها:</v>
      </c>
      <c r="AF17" s="370"/>
      <c r="AG17" s="370"/>
      <c r="AH17" s="120"/>
      <c r="AI17" s="120"/>
      <c r="AJ17" s="1"/>
    </row>
    <row r="18" spans="1:36" ht="17.399999999999999" customHeight="1" thickTop="1" thickBot="1" x14ac:dyDescent="0.3">
      <c r="B18" s="93" t="str">
        <f t="shared" si="3"/>
        <v/>
      </c>
      <c r="C18" s="94" t="str">
        <f>IFERROR(VLOOKUP(B18,'اختيار المقررات'!AU11:AY56,2,0),"")</f>
        <v/>
      </c>
      <c r="D18" s="410" t="str">
        <f>IFERROR(VLOOKUP(B18,'اختيار المقررات'!AU11:AY56,3,0),"")</f>
        <v/>
      </c>
      <c r="E18" s="410"/>
      <c r="F18" s="410"/>
      <c r="G18" s="410"/>
      <c r="H18" s="95" t="str">
        <f>IFERROR(VLOOKUP(B18,'اختيار المقررات'!AU11:AY56,4,0),"")</f>
        <v/>
      </c>
      <c r="I18" s="86" t="str">
        <f>IFERROR(VLOOKUP(B18,'اختيار المقررات'!AU11:AY56,5,0),"")</f>
        <v/>
      </c>
      <c r="J18" s="93" t="str">
        <f t="shared" si="4"/>
        <v/>
      </c>
      <c r="K18" s="94" t="str">
        <f>IFERROR(VLOOKUP(J18,'اختيار المقررات'!AU11:AY56,2,0),"")</f>
        <v/>
      </c>
      <c r="L18" s="410" t="str">
        <f>IFERROR(VLOOKUP(J18,'اختيار المقررات'!AU11:AY56,3,0),"")</f>
        <v/>
      </c>
      <c r="M18" s="410"/>
      <c r="N18" s="410"/>
      <c r="O18" s="410"/>
      <c r="P18" s="95" t="str">
        <f>IFERROR(VLOOKUP(J18,'اختيار المقررات'!AU11:AY56,4,0),"")</f>
        <v/>
      </c>
      <c r="Q18" s="86" t="str">
        <f>IFERROR(VLOOKUP(J18,'اختيار المقررات'!AU11:AY56,5,0),"")</f>
        <v/>
      </c>
      <c r="R18" s="47"/>
      <c r="S18" s="96"/>
      <c r="T18" s="96"/>
      <c r="U18" s="97"/>
      <c r="V18" s="87" t="str">
        <f>IFERROR(SMALL('اختيار المقررات'!$AL$8:$AL$57,'اختيار المقررات'!AM15),"")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17</v>
      </c>
      <c r="AB18" s="1"/>
      <c r="AC18" s="120"/>
      <c r="AD18" s="120"/>
      <c r="AE18" s="370" t="str">
        <f t="shared" si="2"/>
        <v>عامها:</v>
      </c>
      <c r="AF18" s="370"/>
      <c r="AG18" s="370"/>
      <c r="AH18" s="120"/>
      <c r="AI18" s="120"/>
      <c r="AJ18" s="1"/>
    </row>
    <row r="19" spans="1:36" ht="17.399999999999999" customHeight="1" thickTop="1" thickBot="1" x14ac:dyDescent="0.3">
      <c r="B19" s="93" t="str">
        <f t="shared" si="3"/>
        <v/>
      </c>
      <c r="C19" s="94" t="str">
        <f>IFERROR(VLOOKUP(B19,'اختيار المقررات'!AU12:AY56,2,0),"")</f>
        <v/>
      </c>
      <c r="D19" s="410" t="str">
        <f>IFERROR(VLOOKUP(B19,'اختيار المقررات'!AU12:AY56,3,0),"")</f>
        <v/>
      </c>
      <c r="E19" s="410"/>
      <c r="F19" s="410"/>
      <c r="G19" s="410"/>
      <c r="H19" s="95" t="str">
        <f>IFERROR(VLOOKUP(B19,'اختيار المقررات'!AU12:AY56,4,0),"")</f>
        <v/>
      </c>
      <c r="I19" s="86" t="str">
        <f>IFERROR(VLOOKUP(B19,'اختيار المقررات'!AU12:AY56,5,0),"")</f>
        <v/>
      </c>
      <c r="J19" s="93" t="str">
        <f t="shared" si="4"/>
        <v/>
      </c>
      <c r="K19" s="94" t="str">
        <f>IFERROR(VLOOKUP(J19,'اختيار المقررات'!AU12:AY56,2,0),"")</f>
        <v/>
      </c>
      <c r="L19" s="410" t="str">
        <f>IFERROR(VLOOKUP(J19,'اختيار المقررات'!AU12:AY56,3,0),"")</f>
        <v/>
      </c>
      <c r="M19" s="410"/>
      <c r="N19" s="410"/>
      <c r="O19" s="410"/>
      <c r="P19" s="95" t="str">
        <f>IFERROR(VLOOKUP(J19,'اختيار المقررات'!AU12:AY56,4,0),"")</f>
        <v/>
      </c>
      <c r="Q19" s="86" t="str">
        <f>IFERROR(VLOOKUP(J19,'اختيار المقررات'!AU12:AY56,5,0),"")</f>
        <v/>
      </c>
      <c r="R19" s="47"/>
      <c r="S19" s="96"/>
      <c r="T19" s="96"/>
      <c r="U19" s="97"/>
      <c r="V19" s="87" t="str">
        <f>IFERROR(SMALL('اختيار المقررات'!$AL$8:$AL$57,'اختيار المقررات'!AM16),"")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18</v>
      </c>
      <c r="AB19" s="1"/>
      <c r="AC19" s="120"/>
      <c r="AD19" s="120"/>
      <c r="AE19" s="370" t="str">
        <f t="shared" si="2"/>
        <v>الموبايل:</v>
      </c>
      <c r="AF19" s="370"/>
      <c r="AG19" s="370"/>
      <c r="AH19" s="120"/>
      <c r="AI19" s="120"/>
      <c r="AJ19" s="1"/>
    </row>
    <row r="20" spans="1:36" ht="35.4" customHeight="1" thickTop="1" thickBot="1" x14ac:dyDescent="0.3">
      <c r="B20" s="414" t="str">
        <f>'إدخال البيانات'!A2</f>
        <v xml:space="preserve">اسم الطالب   </v>
      </c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96"/>
      <c r="T20" s="96"/>
      <c r="U20" s="97"/>
      <c r="V20" s="87" t="str">
        <f>IFERROR(SMALL('اختيار المقررات'!$AL$8:$AL$57,'اختيار المقررات'!AM17),"")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>
        <f t="shared" si="1"/>
        <v>19</v>
      </c>
      <c r="AB20" s="1"/>
      <c r="AC20" s="120"/>
      <c r="AD20" s="120"/>
      <c r="AE20" s="370" t="str">
        <f t="shared" si="2"/>
        <v>الهاتف:</v>
      </c>
      <c r="AF20" s="370"/>
      <c r="AG20" s="370"/>
      <c r="AH20" s="120"/>
      <c r="AI20" s="120"/>
      <c r="AJ20" s="1"/>
    </row>
    <row r="21" spans="1:36" ht="22.2" thickTop="1" thickBot="1" x14ac:dyDescent="0.3">
      <c r="A21" s="1"/>
      <c r="B21" s="420" t="s">
        <v>74</v>
      </c>
      <c r="C21" s="406"/>
      <c r="D21" s="406"/>
      <c r="E21" s="406"/>
      <c r="F21" s="125">
        <f>'اختيار المقررات'!V30</f>
        <v>0</v>
      </c>
      <c r="G21" s="406" t="s">
        <v>75</v>
      </c>
      <c r="H21" s="406"/>
      <c r="I21" s="406"/>
      <c r="J21" s="406"/>
      <c r="K21" s="407">
        <f>'اختيار المقررات'!AB30</f>
        <v>0</v>
      </c>
      <c r="L21" s="407"/>
      <c r="M21" s="406" t="s">
        <v>76</v>
      </c>
      <c r="N21" s="406"/>
      <c r="O21" s="406"/>
      <c r="P21" s="406"/>
      <c r="Q21" s="407">
        <f>'اختيار المقررات'!AF30</f>
        <v>0</v>
      </c>
      <c r="R21" s="417"/>
      <c r="S21" s="126"/>
      <c r="T21" s="1"/>
      <c r="V21" s="87" t="str">
        <f>IFERROR(SMALL('اختيار المقررات'!$AL$8:$AL$57,'اختيار المقررات'!AM18),"")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>
        <f t="shared" si="1"/>
        <v>20</v>
      </c>
      <c r="AB21" s="1"/>
      <c r="AC21" s="120"/>
      <c r="AD21" s="120"/>
      <c r="AE21" s="370" t="str">
        <f t="shared" si="2"/>
        <v>العنوان :</v>
      </c>
      <c r="AF21" s="370"/>
      <c r="AG21" s="370"/>
      <c r="AH21" s="120"/>
      <c r="AI21" s="120"/>
      <c r="AJ21" s="1"/>
    </row>
    <row r="22" spans="1:36" ht="14.4" thickTop="1" x14ac:dyDescent="0.25">
      <c r="A22" s="1"/>
      <c r="B22" s="421" t="s">
        <v>69</v>
      </c>
      <c r="C22" s="422"/>
      <c r="D22" s="422"/>
      <c r="E22" s="418">
        <f>'اختيار المقررات'!F5</f>
        <v>0</v>
      </c>
      <c r="F22" s="418"/>
      <c r="G22" s="418"/>
      <c r="H22" s="418"/>
      <c r="I22" s="419"/>
      <c r="J22" s="127" t="s">
        <v>59</v>
      </c>
      <c r="K22" s="408" t="e">
        <f>'اختيار المقررات'!Q5</f>
        <v>#REF!</v>
      </c>
      <c r="L22" s="408"/>
      <c r="M22" s="128" t="s">
        <v>0</v>
      </c>
      <c r="N22" s="405" t="e">
        <f>'اختيار المقررات'!W5</f>
        <v>#REF!</v>
      </c>
      <c r="O22" s="405"/>
      <c r="P22" s="129"/>
      <c r="Q22" s="129"/>
      <c r="R22" s="129"/>
      <c r="S22" s="1"/>
      <c r="T22" s="1"/>
      <c r="V22" s="87" t="str">
        <f>IFERROR(SMALL('اختيار المقررات'!$AL$8:$AL$57,'اختيار المقررات'!AM19),"")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A22" s="1"/>
      <c r="AB22" s="1"/>
      <c r="AC22" s="120"/>
      <c r="AD22" s="120"/>
      <c r="AE22" s="370" t="str">
        <f t="shared" si="2"/>
        <v/>
      </c>
      <c r="AF22" s="370"/>
      <c r="AG22" s="370"/>
      <c r="AH22" s="120"/>
      <c r="AI22" s="120"/>
      <c r="AJ22" s="1"/>
    </row>
    <row r="23" spans="1:36" ht="15.6" customHeight="1" x14ac:dyDescent="0.25">
      <c r="A23" s="1"/>
      <c r="B23" s="380" t="s">
        <v>73</v>
      </c>
      <c r="C23" s="381"/>
      <c r="D23" s="381"/>
      <c r="E23" s="415">
        <f>'اختيار المقررات'!AD27</f>
        <v>12000</v>
      </c>
      <c r="F23" s="415"/>
      <c r="G23" s="416"/>
      <c r="H23" s="384" t="s">
        <v>196</v>
      </c>
      <c r="I23" s="385"/>
      <c r="J23" s="386" t="e">
        <f>'اختيار المقررات'!AB5</f>
        <v>#REF!</v>
      </c>
      <c r="K23" s="386"/>
      <c r="L23" s="387"/>
      <c r="M23" s="385" t="s">
        <v>142</v>
      </c>
      <c r="N23" s="385"/>
      <c r="O23" s="385" t="s">
        <v>143</v>
      </c>
      <c r="P23" s="385"/>
      <c r="Q23" s="385" t="s">
        <v>197</v>
      </c>
      <c r="R23" s="389"/>
      <c r="S23" s="1"/>
      <c r="T23" s="1"/>
      <c r="V23" s="87" t="str">
        <f>IFERROR(SMALL('اختيار المقررات'!$AL$8:$AL$57,'اختيار المقررات'!AM20),"")</f>
        <v/>
      </c>
    </row>
    <row r="24" spans="1:36" ht="13.8" x14ac:dyDescent="0.25">
      <c r="A24" s="1"/>
      <c r="B24" s="380" t="s">
        <v>144</v>
      </c>
      <c r="C24" s="381"/>
      <c r="D24" s="381"/>
      <c r="E24" s="382">
        <f>'اختيار المقررات'!W27</f>
        <v>0</v>
      </c>
      <c r="F24" s="382"/>
      <c r="G24" s="383"/>
      <c r="H24" s="391" t="s">
        <v>25</v>
      </c>
      <c r="I24" s="388"/>
      <c r="J24" s="382">
        <f>'اختيار المقررات'!N27</f>
        <v>0</v>
      </c>
      <c r="K24" s="382"/>
      <c r="L24" s="383"/>
      <c r="M24" s="388"/>
      <c r="N24" s="388"/>
      <c r="O24" s="388"/>
      <c r="P24" s="388"/>
      <c r="Q24" s="388"/>
      <c r="R24" s="390"/>
      <c r="S24" s="1"/>
      <c r="T24" s="1"/>
      <c r="V24" s="87" t="str">
        <f>IFERROR(SMALL('اختيار المقررات'!$AL$8:$AL$57,'اختيار المقررات'!AM21),"")</f>
        <v/>
      </c>
    </row>
    <row r="25" spans="1:36" ht="13.8" x14ac:dyDescent="0.25">
      <c r="A25" s="1"/>
      <c r="B25" s="380" t="s">
        <v>138</v>
      </c>
      <c r="C25" s="381"/>
      <c r="D25" s="381"/>
      <c r="E25" s="382">
        <f>'اختيار المقررات'!N28</f>
        <v>0</v>
      </c>
      <c r="F25" s="382"/>
      <c r="G25" s="383"/>
      <c r="H25" s="392" t="s">
        <v>20</v>
      </c>
      <c r="I25" s="393"/>
      <c r="J25" s="130" t="str">
        <f>'اختيار المقررات'!N29</f>
        <v>لا</v>
      </c>
      <c r="K25" s="130"/>
      <c r="L25" s="131"/>
      <c r="M25" s="388"/>
      <c r="N25" s="388"/>
      <c r="O25" s="388"/>
      <c r="P25" s="388"/>
      <c r="Q25" s="388"/>
      <c r="R25" s="390"/>
      <c r="S25" s="1"/>
      <c r="T25" s="1"/>
      <c r="V25" s="87" t="str">
        <f>IFERROR(SMALL('اختيار المقررات'!$AL$8:$AL$57,'اختيار المقررات'!AM22),"")</f>
        <v/>
      </c>
    </row>
    <row r="26" spans="1:36" ht="13.8" x14ac:dyDescent="0.25">
      <c r="A26" s="1"/>
      <c r="B26" s="425" t="s">
        <v>23</v>
      </c>
      <c r="C26" s="426"/>
      <c r="D26" s="426"/>
      <c r="E26" s="427">
        <f>'اختيار المقررات'!W28</f>
        <v>12000</v>
      </c>
      <c r="F26" s="427"/>
      <c r="G26" s="427"/>
      <c r="H26" s="132"/>
      <c r="I26" s="132"/>
      <c r="J26" s="133"/>
      <c r="K26" s="133"/>
      <c r="L26" s="134"/>
      <c r="M26" s="388"/>
      <c r="N26" s="388"/>
      <c r="O26" s="388"/>
      <c r="P26" s="388"/>
      <c r="Q26" s="388"/>
      <c r="R26" s="390"/>
      <c r="S26" s="1"/>
      <c r="T26" s="1"/>
      <c r="V26" s="87" t="str">
        <f>IFERROR(SMALL('اختيار المقررات'!$AL$8:$AL$57,'اختيار المقررات'!AM23),"")</f>
        <v/>
      </c>
    </row>
    <row r="27" spans="1:36" ht="13.8" x14ac:dyDescent="0.25">
      <c r="A27" s="1"/>
      <c r="B27" s="428" t="str">
        <f>'اختيار المقررات'!C27</f>
        <v>فصول الانقطاع</v>
      </c>
      <c r="C27" s="429"/>
      <c r="D27" s="429"/>
      <c r="E27" s="429"/>
      <c r="F27" s="429"/>
      <c r="G27" s="429"/>
      <c r="H27" s="429"/>
      <c r="I27" s="429"/>
      <c r="J27" s="429"/>
      <c r="K27" s="429"/>
      <c r="L27" s="430"/>
      <c r="M27" s="388"/>
      <c r="N27" s="388"/>
      <c r="O27" s="388"/>
      <c r="P27" s="388"/>
      <c r="Q27" s="388"/>
      <c r="R27" s="390"/>
      <c r="S27" s="1"/>
      <c r="T27" s="1"/>
      <c r="V27" s="87" t="str">
        <f>IFERROR(SMALL('اختيار المقررات'!$AL$8:$AL$57,'اختيار المقررات'!AM24),"")</f>
        <v/>
      </c>
    </row>
    <row r="28" spans="1:36" ht="13.8" x14ac:dyDescent="0.25">
      <c r="A28" s="1"/>
      <c r="B28" s="431" t="str">
        <f>'اختيار المقررات'!C28</f>
        <v/>
      </c>
      <c r="C28" s="432"/>
      <c r="D28" s="432"/>
      <c r="E28" s="432"/>
      <c r="F28" s="432"/>
      <c r="G28" s="432" t="str">
        <f>'اختيار المقررات'!C29</f>
        <v/>
      </c>
      <c r="H28" s="432"/>
      <c r="I28" s="432"/>
      <c r="J28" s="432"/>
      <c r="K28" s="432"/>
      <c r="L28" s="433"/>
      <c r="M28" s="388"/>
      <c r="N28" s="388"/>
      <c r="O28" s="388"/>
      <c r="P28" s="388"/>
      <c r="Q28" s="388"/>
      <c r="R28" s="390"/>
      <c r="S28" s="1"/>
      <c r="T28" s="1"/>
      <c r="V28" s="87" t="str">
        <f>IFERROR(SMALL('اختيار المقررات'!$AL$8:$AL$57,'اختيار المقررات'!AM25),"")</f>
        <v/>
      </c>
    </row>
    <row r="29" spans="1:36" ht="13.8" x14ac:dyDescent="0.25">
      <c r="A29" s="1"/>
      <c r="B29" s="431" t="str">
        <f>'اختيار المقررات'!C30</f>
        <v/>
      </c>
      <c r="C29" s="432"/>
      <c r="D29" s="432"/>
      <c r="E29" s="432"/>
      <c r="F29" s="432"/>
      <c r="G29" s="432" t="str">
        <f>'اختيار المقررات'!C31</f>
        <v/>
      </c>
      <c r="H29" s="432"/>
      <c r="I29" s="432"/>
      <c r="J29" s="432"/>
      <c r="K29" s="432"/>
      <c r="L29" s="433"/>
      <c r="M29" s="388"/>
      <c r="N29" s="388"/>
      <c r="O29" s="388"/>
      <c r="P29" s="388"/>
      <c r="Q29" s="388"/>
      <c r="R29" s="390"/>
      <c r="S29" s="1"/>
      <c r="T29" s="1"/>
      <c r="V29" s="87" t="str">
        <f>IFERROR(SMALL('اختيار المقررات'!$AL$8:$AL$57,'اختيار المقررات'!AM26),"")</f>
        <v/>
      </c>
    </row>
    <row r="30" spans="1:36" ht="16.5" customHeight="1" x14ac:dyDescent="0.25">
      <c r="A30" s="1"/>
      <c r="B30" s="374" t="str">
        <f>'اختيار المقررات'!C32</f>
        <v/>
      </c>
      <c r="C30" s="375"/>
      <c r="D30" s="375"/>
      <c r="E30" s="375"/>
      <c r="F30" s="375"/>
      <c r="G30" s="375" t="str">
        <f>'اختيار المقررات'!C33</f>
        <v/>
      </c>
      <c r="H30" s="375"/>
      <c r="I30" s="375"/>
      <c r="J30" s="375"/>
      <c r="K30" s="375"/>
      <c r="L30" s="394"/>
      <c r="M30" s="388"/>
      <c r="N30" s="388"/>
      <c r="O30" s="388"/>
      <c r="P30" s="388"/>
      <c r="Q30" s="388"/>
      <c r="R30" s="390"/>
      <c r="S30" s="1"/>
      <c r="T30" s="1"/>
      <c r="V30" s="87" t="str">
        <f>IFERROR(SMALL('اختيار المقررات'!$AL$8:$AL$57,'اختيار المقررات'!AM27),"")</f>
        <v/>
      </c>
    </row>
    <row r="31" spans="1:36" ht="15" customHeight="1" x14ac:dyDescent="0.25">
      <c r="A31" s="1"/>
      <c r="B31" s="371" t="s">
        <v>198</v>
      </c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3"/>
      <c r="S31" s="1"/>
      <c r="T31" s="1"/>
      <c r="V31" s="87" t="str">
        <f>IFERROR(SMALL('اختيار المقررات'!$AL$8:$AL$57,'اختيار المقررات'!AM28),"")</f>
        <v/>
      </c>
    </row>
    <row r="32" spans="1:36" ht="15" customHeight="1" x14ac:dyDescent="0.25">
      <c r="A32" s="1"/>
      <c r="B32" s="402" t="s">
        <v>218</v>
      </c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1"/>
      <c r="T32" s="1"/>
    </row>
    <row r="33" spans="1:22" ht="16.5" customHeight="1" x14ac:dyDescent="0.25">
      <c r="A33" s="1"/>
      <c r="B33" s="376" t="s">
        <v>31</v>
      </c>
      <c r="C33" s="376"/>
      <c r="D33" s="376"/>
      <c r="E33" s="376"/>
      <c r="F33" s="377">
        <f>'اختيار المقررات'!W29</f>
        <v>12000</v>
      </c>
      <c r="G33" s="377"/>
      <c r="H33" s="378" t="str">
        <f>IF(D4="أنثى","ليرة سورية فقط لا غير من الطالبة","ليرة سورية فقط لا غير من الطالب")&amp;" "&amp;H2</f>
        <v>ليرة سورية فقط لا غير من الطالب 0</v>
      </c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1"/>
      <c r="T33" s="1"/>
      <c r="V33" s="87" t="str">
        <f>IFERROR(SMALL('اختيار المقررات'!$AL$8:$AL$57,'اختيار المقررات'!AM29),"")</f>
        <v/>
      </c>
    </row>
    <row r="34" spans="1:22" ht="24" customHeight="1" x14ac:dyDescent="0.25">
      <c r="A34" s="1"/>
      <c r="B34" s="376" t="str">
        <f>IF(D4="أنثى","رقمها الامتحاني","رقمه الامتحاني")</f>
        <v>رقمه الامتحاني</v>
      </c>
      <c r="C34" s="376"/>
      <c r="D34" s="376"/>
      <c r="E34" s="377">
        <f>D2</f>
        <v>0</v>
      </c>
      <c r="F34" s="377"/>
      <c r="G34" s="379" t="s">
        <v>32</v>
      </c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1"/>
      <c r="T34" s="1"/>
      <c r="V34" s="87" t="str">
        <f>IFERROR(SMALL('اختيار المقررات'!$AL$8:$AL$57,'اختيار المقررات'!AM30),"")</f>
        <v/>
      </c>
    </row>
    <row r="35" spans="1:22" ht="19.2" customHeight="1" x14ac:dyDescent="0.25">
      <c r="A35" s="1"/>
      <c r="B35" s="109"/>
      <c r="C35" s="117"/>
      <c r="D35" s="403"/>
      <c r="E35" s="403"/>
      <c r="F35" s="403"/>
      <c r="G35" s="403"/>
      <c r="H35" s="403"/>
      <c r="I35" s="110"/>
      <c r="J35" s="110"/>
      <c r="K35" s="109"/>
      <c r="L35" s="117"/>
      <c r="M35" s="403"/>
      <c r="N35" s="403"/>
      <c r="O35" s="403"/>
      <c r="P35" s="403"/>
      <c r="Q35" s="110"/>
      <c r="R35" s="110"/>
      <c r="S35" s="1"/>
      <c r="T35" s="1"/>
      <c r="V35" s="87" t="str">
        <f>IFERROR(SMALL('اختيار المقررات'!$AL$8:$AL$57,'اختيار المقررات'!AM31),"")</f>
        <v/>
      </c>
    </row>
    <row r="36" spans="1:22" ht="19.2" customHeight="1" x14ac:dyDescent="0.35">
      <c r="A36" s="1"/>
      <c r="B36" s="404" t="s">
        <v>26</v>
      </c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404"/>
      <c r="S36" s="1"/>
      <c r="T36" s="1"/>
      <c r="V36" s="87" t="str">
        <f>IFERROR(SMALL('اختيار المقررات'!$AL$8:$AL$57,'اختيار المقررات'!AM32),"")</f>
        <v/>
      </c>
    </row>
    <row r="37" spans="1:22" ht="19.2" customHeight="1" x14ac:dyDescent="0.25">
      <c r="A37" s="1"/>
      <c r="B37" s="395" t="s">
        <v>30</v>
      </c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1"/>
      <c r="T37" s="1"/>
      <c r="V37" s="87" t="str">
        <f>IFERROR(SMALL('اختيار المقررات'!$AL$8:$AL$57,'اختيار المقررات'!AM33),"")</f>
        <v/>
      </c>
    </row>
    <row r="38" spans="1:22" ht="19.2" customHeight="1" x14ac:dyDescent="0.25">
      <c r="A38" s="1"/>
      <c r="B38" s="396" t="s">
        <v>31</v>
      </c>
      <c r="C38" s="396"/>
      <c r="D38" s="396"/>
      <c r="E38" s="396"/>
      <c r="F38" s="397">
        <f>'اختيار المقررات'!AD29</f>
        <v>0</v>
      </c>
      <c r="G38" s="397"/>
      <c r="H38" s="398" t="str">
        <f>H33</f>
        <v>ليرة سورية فقط لا غير من الطالب 0</v>
      </c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1"/>
      <c r="T38" s="1"/>
      <c r="V38" s="87" t="str">
        <f>IFERROR(SMALL('اختيار المقررات'!$AL$8:$AL$57,'اختيار المقررات'!AM34),"")</f>
        <v/>
      </c>
    </row>
    <row r="39" spans="1:22" ht="19.2" customHeight="1" x14ac:dyDescent="0.3">
      <c r="A39" s="1"/>
      <c r="B39" s="399" t="str">
        <f>B34</f>
        <v>رقمه الامتحاني</v>
      </c>
      <c r="C39" s="399"/>
      <c r="D39" s="399"/>
      <c r="E39" s="400">
        <f>E34</f>
        <v>0</v>
      </c>
      <c r="F39" s="400"/>
      <c r="G39" s="401" t="str">
        <f>G34</f>
        <v xml:space="preserve">وتحويله إلى حساب التعليم المفتوح رقم ck1-10173186 وتسليم إشعار القبض إلى صاحب العلاقة  </v>
      </c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1"/>
      <c r="T39" s="1"/>
      <c r="V39" s="87" t="str">
        <f>IFERROR(SMALL('اختيار المقررات'!$AL$8:$AL$57,'اختيار المقررات'!AM35),"")</f>
        <v/>
      </c>
    </row>
    <row r="40" spans="1:22" ht="22.5" customHeight="1" x14ac:dyDescent="0.25">
      <c r="A40" s="1"/>
      <c r="B40" s="1"/>
      <c r="C40" s="1"/>
      <c r="D40" s="1"/>
      <c r="E40" s="135"/>
      <c r="F40" s="135"/>
      <c r="G40" s="135"/>
      <c r="H40" s="135"/>
      <c r="I40" s="1"/>
      <c r="J40" s="1"/>
      <c r="K40" s="1"/>
      <c r="L40" s="1"/>
      <c r="M40" s="135"/>
      <c r="N40" s="135"/>
      <c r="O40" s="135"/>
      <c r="P40" s="1"/>
      <c r="Q40" s="1"/>
      <c r="R40" s="1"/>
      <c r="S40" s="1"/>
      <c r="T40" s="1"/>
      <c r="V40" s="87" t="str">
        <f>IFERROR(SMALL('اختيار المقررات'!$AL$8:$AL$57,'اختيار المقررات'!AM36),"")</f>
        <v/>
      </c>
    </row>
    <row r="41" spans="1:22" ht="22.5" customHeight="1" x14ac:dyDescent="0.25">
      <c r="A41" s="1"/>
      <c r="B41" s="1"/>
      <c r="C41" s="1"/>
      <c r="D41" s="1"/>
      <c r="E41" s="1"/>
      <c r="F41" s="135"/>
      <c r="G41" s="135"/>
      <c r="H41" s="135"/>
      <c r="I41" s="135"/>
      <c r="J41" s="1"/>
      <c r="K41" s="1"/>
      <c r="L41" s="1"/>
      <c r="M41" s="1"/>
      <c r="N41" s="135"/>
      <c r="O41" s="135"/>
      <c r="P41" s="135"/>
      <c r="Q41" s="1"/>
      <c r="R41" s="1"/>
      <c r="S41" s="1"/>
      <c r="T41" s="1"/>
      <c r="V41" s="87" t="str">
        <f>IFERROR(SMALL('اختيار المقررات'!$AL$8:$AL$57,'اختيار المقررات'!AM37),"")</f>
        <v/>
      </c>
    </row>
    <row r="42" spans="1:22" ht="17.25" customHeight="1" x14ac:dyDescent="0.25">
      <c r="A42" s="1"/>
      <c r="B42" s="1"/>
      <c r="C42" s="136"/>
      <c r="D42" s="136"/>
      <c r="E42" s="136"/>
      <c r="F42" s="136"/>
      <c r="G42" s="136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"/>
      <c r="V42" s="87" t="str">
        <f>IFERROR(SMALL('اختيار المقررات'!$AL$8:$AL$57,'اختيار المقررات'!AM38),"")</f>
        <v/>
      </c>
    </row>
    <row r="43" spans="1:22" ht="17.25" customHeight="1" x14ac:dyDescent="0.25">
      <c r="A43" s="1"/>
      <c r="B43" s="1"/>
      <c r="C43" s="136"/>
      <c r="D43" s="136"/>
      <c r="E43" s="136"/>
      <c r="F43" s="136"/>
      <c r="G43" s="136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"/>
      <c r="V43" s="87" t="str">
        <f>IFERROR(SMALL('اختيار المقررات'!$AL$8:$AL$57,'اختيار المقررات'!AM39),"")</f>
        <v/>
      </c>
    </row>
    <row r="44" spans="1:22" ht="13.8" x14ac:dyDescent="0.25">
      <c r="A44" s="1"/>
      <c r="B44" s="1"/>
      <c r="C44" s="136"/>
      <c r="D44" s="136"/>
      <c r="E44" s="136"/>
      <c r="F44" s="136"/>
      <c r="G44" s="136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"/>
    </row>
  </sheetData>
  <sheetProtection algorithmName="SHA-512" hashValue="67+EjaE9nTN/gebpjKcZwsQS1MFxUaUbUAaSUgkgVxwt2TBUpUDh1URS9UUaOGCX46D7xbEHARg7nzzDCu6O6A==" saltValue="CLFGXKpEgaATsJcI69aJIg==" spinCount="100000" sheet="1" selectLockedCells="1" selectUnlockedCells="1"/>
  <mergeCells count="133">
    <mergeCell ref="B1:E1"/>
    <mergeCell ref="B2:C2"/>
    <mergeCell ref="D2:E2"/>
    <mergeCell ref="F2:G2"/>
    <mergeCell ref="H2:J2"/>
    <mergeCell ref="M2:N2"/>
    <mergeCell ref="K7:R7"/>
    <mergeCell ref="B6:C6"/>
    <mergeCell ref="D6:E6"/>
    <mergeCell ref="F6:G6"/>
    <mergeCell ref="P2:R2"/>
    <mergeCell ref="F3:G3"/>
    <mergeCell ref="H3:I3"/>
    <mergeCell ref="K2:L2"/>
    <mergeCell ref="K4:M4"/>
    <mergeCell ref="D3:E3"/>
    <mergeCell ref="N3:P3"/>
    <mergeCell ref="Q3:R3"/>
    <mergeCell ref="F1:R1"/>
    <mergeCell ref="J3:L3"/>
    <mergeCell ref="N4:P4"/>
    <mergeCell ref="Q4:R4"/>
    <mergeCell ref="D4:E4"/>
    <mergeCell ref="F4:G4"/>
    <mergeCell ref="B26:D26"/>
    <mergeCell ref="E26:G26"/>
    <mergeCell ref="B27:L27"/>
    <mergeCell ref="B28:F28"/>
    <mergeCell ref="G28:L28"/>
    <mergeCell ref="B3:C3"/>
    <mergeCell ref="B29:F29"/>
    <mergeCell ref="G29:L29"/>
    <mergeCell ref="B4:C4"/>
    <mergeCell ref="B7:C7"/>
    <mergeCell ref="B8:R9"/>
    <mergeCell ref="D11:G11"/>
    <mergeCell ref="L11:O11"/>
    <mergeCell ref="D13:G13"/>
    <mergeCell ref="L13:O13"/>
    <mergeCell ref="B5:C5"/>
    <mergeCell ref="D5:E5"/>
    <mergeCell ref="F5:G5"/>
    <mergeCell ref="H5:I5"/>
    <mergeCell ref="K5:M5"/>
    <mergeCell ref="N5:O5"/>
    <mergeCell ref="P5:R5"/>
    <mergeCell ref="N6:O6"/>
    <mergeCell ref="D7:E7"/>
    <mergeCell ref="AE3:AG3"/>
    <mergeCell ref="AE4:AG4"/>
    <mergeCell ref="AE5:AG5"/>
    <mergeCell ref="AE6:AG6"/>
    <mergeCell ref="AE7:AG7"/>
    <mergeCell ref="AE8:AG8"/>
    <mergeCell ref="AE9:AG9"/>
    <mergeCell ref="AE10:AG10"/>
    <mergeCell ref="AC1:AH2"/>
    <mergeCell ref="E23:G23"/>
    <mergeCell ref="E24:G24"/>
    <mergeCell ref="AE11:AG11"/>
    <mergeCell ref="AE12:AG12"/>
    <mergeCell ref="AE13:AG13"/>
    <mergeCell ref="AE14:AG14"/>
    <mergeCell ref="AE15:AG15"/>
    <mergeCell ref="AE16:AG16"/>
    <mergeCell ref="AE17:AG17"/>
    <mergeCell ref="AE18:AG18"/>
    <mergeCell ref="AE19:AG19"/>
    <mergeCell ref="Q21:R21"/>
    <mergeCell ref="E22:I22"/>
    <mergeCell ref="K22:L22"/>
    <mergeCell ref="B21:E21"/>
    <mergeCell ref="N22:O22"/>
    <mergeCell ref="B22:D22"/>
    <mergeCell ref="D12:G12"/>
    <mergeCell ref="L12:O12"/>
    <mergeCell ref="D14:G14"/>
    <mergeCell ref="L14:O14"/>
    <mergeCell ref="D15:G15"/>
    <mergeCell ref="L15:O15"/>
    <mergeCell ref="D16:G16"/>
    <mergeCell ref="H4:I4"/>
    <mergeCell ref="G21:J21"/>
    <mergeCell ref="K21:L21"/>
    <mergeCell ref="H6:I6"/>
    <mergeCell ref="K6:M6"/>
    <mergeCell ref="P6:R6"/>
    <mergeCell ref="D18:G18"/>
    <mergeCell ref="L18:O18"/>
    <mergeCell ref="F7:G7"/>
    <mergeCell ref="H7:I7"/>
    <mergeCell ref="L16:O16"/>
    <mergeCell ref="D17:G17"/>
    <mergeCell ref="L17:O17"/>
    <mergeCell ref="M21:P21"/>
    <mergeCell ref="D19:G19"/>
    <mergeCell ref="L19:O19"/>
    <mergeCell ref="B20:R20"/>
    <mergeCell ref="B37:R37"/>
    <mergeCell ref="B38:E38"/>
    <mergeCell ref="F38:G38"/>
    <mergeCell ref="H38:R38"/>
    <mergeCell ref="B39:D39"/>
    <mergeCell ref="E39:F39"/>
    <mergeCell ref="G39:R39"/>
    <mergeCell ref="B32:R32"/>
    <mergeCell ref="D35:H35"/>
    <mergeCell ref="M35:P35"/>
    <mergeCell ref="B36:R36"/>
    <mergeCell ref="AE20:AG20"/>
    <mergeCell ref="AE21:AG21"/>
    <mergeCell ref="AE22:AG22"/>
    <mergeCell ref="B31:R31"/>
    <mergeCell ref="B30:F30"/>
    <mergeCell ref="B33:E33"/>
    <mergeCell ref="F33:G33"/>
    <mergeCell ref="H33:R33"/>
    <mergeCell ref="B34:D34"/>
    <mergeCell ref="E34:F34"/>
    <mergeCell ref="G34:R34"/>
    <mergeCell ref="B23:D23"/>
    <mergeCell ref="B24:D24"/>
    <mergeCell ref="B25:D25"/>
    <mergeCell ref="E25:G25"/>
    <mergeCell ref="H23:I23"/>
    <mergeCell ref="J23:L23"/>
    <mergeCell ref="M23:N30"/>
    <mergeCell ref="O23:P30"/>
    <mergeCell ref="Q23:R30"/>
    <mergeCell ref="H24:I24"/>
    <mergeCell ref="J24:L24"/>
    <mergeCell ref="H25:I25"/>
    <mergeCell ref="G30:L30"/>
  </mergeCells>
  <conditionalFormatting sqref="B35:R35">
    <cfRule type="expression" dxfId="30" priority="2">
      <formula>#REF!="لا"</formula>
    </cfRule>
  </conditionalFormatting>
  <conditionalFormatting sqref="B36:R37 B38:H38 B39:R39">
    <cfRule type="expression" dxfId="29" priority="3">
      <formula>$K$25="لا"</formula>
    </cfRule>
  </conditionalFormatting>
  <conditionalFormatting sqref="B36:R41">
    <cfRule type="expression" dxfId="28" priority="1">
      <formula>$J$25="لا"</formula>
    </cfRule>
  </conditionalFormatting>
  <conditionalFormatting sqref="C13:I19">
    <cfRule type="expression" dxfId="27" priority="24">
      <formula>$C$13=""</formula>
    </cfRule>
  </conditionalFormatting>
  <conditionalFormatting sqref="C14:I19">
    <cfRule type="expression" dxfId="26" priority="23">
      <formula>$C$14=""</formula>
    </cfRule>
  </conditionalFormatting>
  <conditionalFormatting sqref="C15:I19">
    <cfRule type="expression" dxfId="25" priority="22">
      <formula>$C$15=""</formula>
    </cfRule>
  </conditionalFormatting>
  <conditionalFormatting sqref="C16:I19">
    <cfRule type="expression" dxfId="24" priority="21">
      <formula>$C$16=""</formula>
    </cfRule>
  </conditionalFormatting>
  <conditionalFormatting sqref="C17:I19">
    <cfRule type="expression" dxfId="23" priority="20">
      <formula>$C$17=""</formula>
    </cfRule>
  </conditionalFormatting>
  <conditionalFormatting sqref="C18:I19">
    <cfRule type="expression" dxfId="22" priority="19">
      <formula>$C$18=""</formula>
    </cfRule>
  </conditionalFormatting>
  <conditionalFormatting sqref="C19:I19">
    <cfRule type="expression" dxfId="21" priority="18">
      <formula>$C$19=""</formula>
    </cfRule>
  </conditionalFormatting>
  <conditionalFormatting sqref="C11:Q19">
    <cfRule type="expression" dxfId="20" priority="25">
      <formula>$C$12=""</formula>
    </cfRule>
  </conditionalFormatting>
  <conditionalFormatting sqref="C43:S44">
    <cfRule type="expression" dxfId="19" priority="4">
      <formula>$K$26="لا"</formula>
    </cfRule>
  </conditionalFormatting>
  <conditionalFormatting sqref="K11:Q19">
    <cfRule type="expression" dxfId="18" priority="17">
      <formula>$K$12=""</formula>
    </cfRule>
  </conditionalFormatting>
  <conditionalFormatting sqref="K13:Q19">
    <cfRule type="expression" dxfId="17" priority="16">
      <formula>$K$13=""</formula>
    </cfRule>
  </conditionalFormatting>
  <conditionalFormatting sqref="K14:Q19">
    <cfRule type="expression" dxfId="16" priority="15">
      <formula>$K$14=""</formula>
    </cfRule>
  </conditionalFormatting>
  <conditionalFormatting sqref="K15:Q19">
    <cfRule type="expression" dxfId="15" priority="14">
      <formula>$K$15=""</formula>
    </cfRule>
  </conditionalFormatting>
  <conditionalFormatting sqref="K16:Q19">
    <cfRule type="expression" dxfId="14" priority="13">
      <formula>$K$16=""</formula>
    </cfRule>
  </conditionalFormatting>
  <conditionalFormatting sqref="K17:Q19">
    <cfRule type="expression" dxfId="13" priority="12">
      <formula>$K$17=""</formula>
    </cfRule>
  </conditionalFormatting>
  <conditionalFormatting sqref="K18:Q19">
    <cfRule type="expression" dxfId="12" priority="11">
      <formula>$K$18=""</formula>
    </cfRule>
  </conditionalFormatting>
  <conditionalFormatting sqref="K19:Q19">
    <cfRule type="expression" dxfId="11" priority="10">
      <formula>$K$19=""</formula>
    </cfRule>
  </conditionalFormatting>
  <conditionalFormatting sqref="AC1">
    <cfRule type="expression" dxfId="10" priority="26">
      <formula>$AC$1&lt;&gt;""</formula>
    </cfRule>
  </conditionalFormatting>
  <conditionalFormatting sqref="AE3:AE22">
    <cfRule type="expression" dxfId="9" priority="7">
      <formula>AE3&lt;&gt;""</formula>
    </cfRule>
  </conditionalFormatting>
  <pageMargins left="0.19685039370078741" right="0.19685039370078741" top="0.19685039370078741" bottom="0.19685039370078741" header="0.11811023622047245" footer="0.11811023622047245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O9"/>
  <sheetViews>
    <sheetView rightToLeft="1" workbookViewId="0">
      <selection activeCell="CZ5" sqref="CZ5:DK5"/>
    </sheetView>
  </sheetViews>
  <sheetFormatPr defaultColWidth="9" defaultRowHeight="13.8" x14ac:dyDescent="0.25"/>
  <cols>
    <col min="1" max="1" width="13.8984375" style="1" customWidth="1"/>
    <col min="2" max="2" width="15" style="1" bestFit="1" customWidth="1"/>
    <col min="3" max="5" width="9" style="1"/>
    <col min="6" max="6" width="11.3984375" style="1" bestFit="1" customWidth="1"/>
    <col min="7" max="7" width="9.8984375" style="1" bestFit="1" customWidth="1"/>
    <col min="8" max="8" width="13.8984375" style="1" bestFit="1" customWidth="1"/>
    <col min="9" max="9" width="9" style="1"/>
    <col min="10" max="10" width="11.59765625" style="1" bestFit="1" customWidth="1"/>
    <col min="11" max="12" width="9" style="1"/>
    <col min="13" max="14" width="12.3984375" style="1" bestFit="1" customWidth="1"/>
    <col min="15" max="18" width="9" style="1"/>
    <col min="19" max="19" width="10.09765625" style="1" bestFit="1" customWidth="1"/>
    <col min="20" max="21" width="3.3984375" style="57" customWidth="1"/>
    <col min="22" max="115" width="3.3984375" style="1" customWidth="1"/>
    <col min="116" max="119" width="10.8984375" style="1" customWidth="1"/>
    <col min="120" max="120" width="11" style="1" customWidth="1"/>
    <col min="121" max="121" width="10.8984375" style="1" customWidth="1"/>
    <col min="122" max="122" width="9.3984375" style="1" bestFit="1" customWidth="1"/>
    <col min="123" max="125" width="9.3984375" style="1" customWidth="1"/>
    <col min="126" max="126" width="11.3984375" style="1" bestFit="1" customWidth="1"/>
    <col min="127" max="127" width="7.5" style="1" bestFit="1" customWidth="1"/>
    <col min="128" max="128" width="8.8984375" style="1" bestFit="1" customWidth="1"/>
    <col min="129" max="129" width="9.3984375" style="1" bestFit="1" customWidth="1"/>
    <col min="130" max="130" width="9.3984375" style="1" customWidth="1"/>
    <col min="131" max="131" width="8.3984375" style="1" bestFit="1" customWidth="1"/>
    <col min="132" max="133" width="6.3984375" style="1" bestFit="1" customWidth="1"/>
    <col min="134" max="134" width="3.59765625" style="1" bestFit="1" customWidth="1"/>
    <col min="135" max="135" width="14.59765625" style="1" bestFit="1" customWidth="1"/>
    <col min="136" max="136" width="12.3984375" style="1" bestFit="1" customWidth="1"/>
    <col min="137" max="137" width="13.3984375" style="1" bestFit="1" customWidth="1"/>
    <col min="138" max="138" width="12.3984375" style="1" bestFit="1" customWidth="1"/>
    <col min="139" max="139" width="9" style="1"/>
    <col min="140" max="143" width="11.3984375" style="1" customWidth="1"/>
    <col min="144" max="144" width="9" style="1"/>
    <col min="145" max="145" width="30.3984375" style="1" customWidth="1"/>
    <col min="146" max="16384" width="9" style="1"/>
  </cols>
  <sheetData>
    <row r="1" spans="1:145" customFormat="1" ht="18" thickBot="1" x14ac:dyDescent="0.3">
      <c r="A1" s="189"/>
      <c r="B1" s="521">
        <v>9999</v>
      </c>
      <c r="C1" s="521" t="s">
        <v>33</v>
      </c>
      <c r="D1" s="499"/>
      <c r="E1" s="499"/>
      <c r="F1" s="499"/>
      <c r="G1" s="499"/>
      <c r="H1" s="499"/>
      <c r="I1" s="499"/>
      <c r="J1" s="499"/>
      <c r="K1" s="522" t="s">
        <v>16</v>
      </c>
      <c r="L1" s="524" t="s">
        <v>65</v>
      </c>
      <c r="M1" s="527" t="s">
        <v>63</v>
      </c>
      <c r="N1" s="527" t="s">
        <v>64</v>
      </c>
      <c r="O1" s="534" t="s">
        <v>56</v>
      </c>
      <c r="P1" s="499" t="s">
        <v>34</v>
      </c>
      <c r="Q1" s="499"/>
      <c r="R1" s="499"/>
      <c r="S1" s="536" t="s">
        <v>9</v>
      </c>
      <c r="T1" s="531" t="s">
        <v>35</v>
      </c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G1" s="532"/>
      <c r="AH1" s="532"/>
      <c r="AI1" s="532"/>
      <c r="AJ1" s="532"/>
      <c r="AK1" s="532"/>
      <c r="AL1" s="532"/>
      <c r="AM1" s="532"/>
      <c r="AN1" s="532"/>
      <c r="AO1" s="532"/>
      <c r="AP1" s="532"/>
      <c r="AQ1" s="533"/>
      <c r="AR1" s="531" t="s">
        <v>21</v>
      </c>
      <c r="AS1" s="532"/>
      <c r="AT1" s="532"/>
      <c r="AU1" s="532"/>
      <c r="AV1" s="532"/>
      <c r="AW1" s="532"/>
      <c r="AX1" s="532"/>
      <c r="AY1" s="532"/>
      <c r="AZ1" s="532"/>
      <c r="BA1" s="532"/>
      <c r="BB1" s="532"/>
      <c r="BC1" s="532"/>
      <c r="BD1" s="532"/>
      <c r="BE1" s="532"/>
      <c r="BF1" s="532"/>
      <c r="BG1" s="532"/>
      <c r="BH1" s="532"/>
      <c r="BI1" s="532"/>
      <c r="BJ1" s="532"/>
      <c r="BK1" s="532"/>
      <c r="BL1" s="532"/>
      <c r="BM1" s="532"/>
      <c r="BN1" s="532"/>
      <c r="BO1" s="533"/>
      <c r="BP1" s="531" t="s">
        <v>36</v>
      </c>
      <c r="BQ1" s="532"/>
      <c r="BR1" s="532"/>
      <c r="BS1" s="532"/>
      <c r="BT1" s="532"/>
      <c r="BU1" s="532"/>
      <c r="BV1" s="532"/>
      <c r="BW1" s="532"/>
      <c r="BX1" s="532"/>
      <c r="BY1" s="532"/>
      <c r="BZ1" s="532"/>
      <c r="CA1" s="532"/>
      <c r="CB1" s="532"/>
      <c r="CC1" s="532"/>
      <c r="CD1" s="532"/>
      <c r="CE1" s="532"/>
      <c r="CF1" s="532"/>
      <c r="CG1" s="532"/>
      <c r="CH1" s="532"/>
      <c r="CI1" s="532"/>
      <c r="CJ1" s="218"/>
      <c r="CK1" s="218"/>
      <c r="CL1" s="218"/>
      <c r="CM1" s="218"/>
      <c r="CN1" s="531" t="s">
        <v>37</v>
      </c>
      <c r="CO1" s="532"/>
      <c r="CP1" s="532"/>
      <c r="CQ1" s="532"/>
      <c r="CR1" s="532"/>
      <c r="CS1" s="532"/>
      <c r="CT1" s="532"/>
      <c r="CU1" s="532"/>
      <c r="CV1" s="532"/>
      <c r="CW1" s="532"/>
      <c r="CX1" s="532"/>
      <c r="CY1" s="532"/>
      <c r="CZ1" s="532"/>
      <c r="DA1" s="532"/>
      <c r="DB1" s="532"/>
      <c r="DC1" s="532"/>
      <c r="DD1" s="532"/>
      <c r="DE1" s="532"/>
      <c r="DF1" s="532"/>
      <c r="DG1" s="532"/>
      <c r="DH1" s="218"/>
      <c r="DI1" s="218"/>
      <c r="DJ1" s="218"/>
      <c r="DK1" s="218"/>
      <c r="DL1" s="505" t="s">
        <v>1</v>
      </c>
      <c r="DM1" s="506"/>
      <c r="DN1" s="507"/>
      <c r="DO1" s="511"/>
      <c r="DP1" s="513" t="s">
        <v>210</v>
      </c>
      <c r="DQ1" s="514"/>
      <c r="DR1" s="514"/>
      <c r="DS1" s="514"/>
      <c r="DT1" s="514"/>
      <c r="DU1" s="514"/>
      <c r="DV1" s="514"/>
      <c r="DW1" s="514"/>
      <c r="DX1" s="517" t="s">
        <v>38</v>
      </c>
      <c r="DY1" s="518"/>
      <c r="DZ1" s="518"/>
      <c r="EA1" s="519"/>
      <c r="EB1" s="517" t="s">
        <v>211</v>
      </c>
      <c r="EC1" s="518"/>
      <c r="ED1" s="518"/>
      <c r="EE1" s="519"/>
      <c r="EG1" s="498" t="s">
        <v>212</v>
      </c>
      <c r="EH1" s="499"/>
      <c r="EI1" s="499"/>
      <c r="EJ1" s="499"/>
      <c r="EK1" s="499"/>
      <c r="EL1" s="499"/>
    </row>
    <row r="2" spans="1:145" customFormat="1" ht="18" thickBot="1" x14ac:dyDescent="0.3">
      <c r="A2" s="189"/>
      <c r="B2" s="189"/>
      <c r="C2" s="189"/>
      <c r="D2" s="499"/>
      <c r="E2" s="499"/>
      <c r="F2" s="499"/>
      <c r="G2" s="499"/>
      <c r="H2" s="499"/>
      <c r="I2" s="499"/>
      <c r="J2" s="499"/>
      <c r="K2" s="523"/>
      <c r="L2" s="525"/>
      <c r="M2" s="528"/>
      <c r="N2" s="528"/>
      <c r="O2" s="535"/>
      <c r="P2" s="499"/>
      <c r="Q2" s="499"/>
      <c r="R2" s="499"/>
      <c r="S2" s="536"/>
      <c r="T2" s="502" t="s">
        <v>17</v>
      </c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503"/>
      <c r="AF2" s="502" t="s">
        <v>18</v>
      </c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503"/>
      <c r="AR2" s="542" t="s">
        <v>17</v>
      </c>
      <c r="AS2" s="543"/>
      <c r="AT2" s="543"/>
      <c r="AU2" s="543"/>
      <c r="AV2" s="543"/>
      <c r="AW2" s="543"/>
      <c r="AX2" s="543"/>
      <c r="AY2" s="543"/>
      <c r="AZ2" s="543"/>
      <c r="BA2" s="543"/>
      <c r="BB2" s="543"/>
      <c r="BC2" s="544"/>
      <c r="BD2" s="545" t="s">
        <v>18</v>
      </c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6"/>
      <c r="BP2" s="520" t="s">
        <v>17</v>
      </c>
      <c r="BQ2" s="497"/>
      <c r="BR2" s="497"/>
      <c r="BS2" s="497"/>
      <c r="BT2" s="497"/>
      <c r="BU2" s="497"/>
      <c r="BV2" s="497"/>
      <c r="BW2" s="497"/>
      <c r="BX2" s="497"/>
      <c r="BY2" s="497"/>
      <c r="BZ2" s="496" t="s">
        <v>18</v>
      </c>
      <c r="CA2" s="497"/>
      <c r="CB2" s="497"/>
      <c r="CC2" s="497"/>
      <c r="CD2" s="497"/>
      <c r="CE2" s="497"/>
      <c r="CF2" s="497"/>
      <c r="CG2" s="497"/>
      <c r="CH2" s="497"/>
      <c r="CI2" s="497"/>
      <c r="CJ2" s="219"/>
      <c r="CK2" s="219"/>
      <c r="CL2" s="219"/>
      <c r="CM2" s="219"/>
      <c r="CN2" s="520" t="s">
        <v>17</v>
      </c>
      <c r="CO2" s="497"/>
      <c r="CP2" s="497"/>
      <c r="CQ2" s="497"/>
      <c r="CR2" s="497"/>
      <c r="CS2" s="497"/>
      <c r="CT2" s="497"/>
      <c r="CU2" s="497"/>
      <c r="CV2" s="497"/>
      <c r="CW2" s="497"/>
      <c r="CX2" s="496" t="s">
        <v>18</v>
      </c>
      <c r="CY2" s="497"/>
      <c r="CZ2" s="497"/>
      <c r="DA2" s="497"/>
      <c r="DB2" s="497"/>
      <c r="DC2" s="497"/>
      <c r="DD2" s="497"/>
      <c r="DE2" s="497"/>
      <c r="DF2" s="497"/>
      <c r="DG2" s="497"/>
      <c r="DH2" s="219"/>
      <c r="DI2" s="219"/>
      <c r="DJ2" s="219"/>
      <c r="DK2" s="219"/>
      <c r="DL2" s="508"/>
      <c r="DM2" s="509"/>
      <c r="DN2" s="510"/>
      <c r="DO2" s="512"/>
      <c r="DP2" s="515"/>
      <c r="DQ2" s="516"/>
      <c r="DR2" s="516"/>
      <c r="DS2" s="516"/>
      <c r="DT2" s="516"/>
      <c r="DU2" s="516"/>
      <c r="DV2" s="516"/>
      <c r="DW2" s="516"/>
      <c r="DX2" s="508"/>
      <c r="DY2" s="509"/>
      <c r="DZ2" s="509"/>
      <c r="EA2" s="510"/>
      <c r="EB2" s="508"/>
      <c r="EC2" s="509"/>
      <c r="ED2" s="509"/>
      <c r="EE2" s="510"/>
      <c r="EG2" s="498"/>
      <c r="EH2" s="499"/>
      <c r="EI2" s="499"/>
      <c r="EJ2" s="499"/>
      <c r="EK2" s="499"/>
      <c r="EL2" s="499"/>
    </row>
    <row r="3" spans="1:145" customFormat="1" ht="60.75" customHeight="1" thickBot="1" x14ac:dyDescent="0.3">
      <c r="A3" s="190" t="s">
        <v>2</v>
      </c>
      <c r="B3" s="191" t="s">
        <v>39</v>
      </c>
      <c r="C3" s="191" t="s">
        <v>40</v>
      </c>
      <c r="D3" s="191" t="s">
        <v>41</v>
      </c>
      <c r="E3" s="191" t="s">
        <v>6</v>
      </c>
      <c r="F3" s="192" t="s">
        <v>7</v>
      </c>
      <c r="G3" s="529" t="s">
        <v>84</v>
      </c>
      <c r="H3" s="193" t="s">
        <v>52</v>
      </c>
      <c r="I3" s="191" t="s">
        <v>11</v>
      </c>
      <c r="J3" s="191" t="s">
        <v>10</v>
      </c>
      <c r="K3" s="523"/>
      <c r="L3" s="525"/>
      <c r="M3" s="528"/>
      <c r="N3" s="528"/>
      <c r="O3" s="535"/>
      <c r="P3" s="538" t="s">
        <v>27</v>
      </c>
      <c r="Q3" s="538" t="s">
        <v>42</v>
      </c>
      <c r="R3" s="540" t="s">
        <v>14</v>
      </c>
      <c r="S3" s="536"/>
      <c r="T3" s="504" t="str">
        <f>'[1]إختيار المقررات'!BN6</f>
        <v>أساسيات الإدارة</v>
      </c>
      <c r="U3" s="487"/>
      <c r="V3" s="487" t="str">
        <f>'[1]إختيار المقررات'!BN7</f>
        <v xml:space="preserve">مبادئ التمويل والاستثمار </v>
      </c>
      <c r="W3" s="487"/>
      <c r="X3" s="487" t="str">
        <f>'[1]إختيار المقررات'!BN8</f>
        <v>التحليل الجزئي</v>
      </c>
      <c r="Y3" s="487"/>
      <c r="Z3" s="487" t="str">
        <f>'[1]إختيار المقررات'!BN9</f>
        <v>مبادئ الاحصاء</v>
      </c>
      <c r="AA3" s="487"/>
      <c r="AB3" s="487" t="str">
        <f>'[1]إختيار المقررات'!BN10</f>
        <v xml:space="preserve">المحاسبة المالية </v>
      </c>
      <c r="AC3" s="487"/>
      <c r="AD3" s="487" t="str">
        <f>'[1]إختيار المقررات'!BN11</f>
        <v>لغة أعمال 1</v>
      </c>
      <c r="AE3" s="495"/>
      <c r="AF3" s="504" t="str">
        <f>'[1]إختيار المقررات'!BN13</f>
        <v xml:space="preserve">اساسيات التسويق في المشروعات الصغيرة </v>
      </c>
      <c r="AG3" s="487"/>
      <c r="AH3" s="487" t="str">
        <f>'[1]إختيار المقررات'!BN14</f>
        <v xml:space="preserve">رياضيات ادارية ومالية </v>
      </c>
      <c r="AI3" s="487"/>
      <c r="AJ3" s="487" t="str">
        <f>'[1]إختيار المقررات'!BN15</f>
        <v>المحاسبة المتوسطة</v>
      </c>
      <c r="AK3" s="487"/>
      <c r="AL3" s="487" t="str">
        <f>'[1]إختيار المقررات'!BN16</f>
        <v xml:space="preserve">الاشكال القانونية للمشروعات وأسس احداثها </v>
      </c>
      <c r="AM3" s="487"/>
      <c r="AN3" s="487" t="str">
        <f>'[1]إختيار المقررات'!BN17</f>
        <v>مهارات حاسوب 1</v>
      </c>
      <c r="AO3" s="487"/>
      <c r="AP3" s="487" t="str">
        <f>'[1]إختيار المقررات'!BN18</f>
        <v>لغة اعمال 2</v>
      </c>
      <c r="AQ3" s="495"/>
      <c r="AR3" s="494" t="str">
        <f>'[1]إختيار المقررات'!BN20</f>
        <v xml:space="preserve">ادارة التفاوض باللغة الاجنبية </v>
      </c>
      <c r="AS3" s="487"/>
      <c r="AT3" s="487" t="str">
        <f>'[1]إختيار المقررات'!BN21</f>
        <v>التحليل الكلي</v>
      </c>
      <c r="AU3" s="487"/>
      <c r="AV3" s="487" t="str">
        <f>'[1]إختيار المقررات'!BN22</f>
        <v xml:space="preserve">الاساليب الكمية في الادارة </v>
      </c>
      <c r="AW3" s="487"/>
      <c r="AX3" s="487" t="str">
        <f>'[1]إختيار المقررات'!BN23</f>
        <v>محاسبة شركات الاشخاص</v>
      </c>
      <c r="AY3" s="487"/>
      <c r="AZ3" s="487" t="str">
        <f>'[1]إختيار المقررات'!BN24</f>
        <v xml:space="preserve">الملية العامة والتشريع الضريبي </v>
      </c>
      <c r="BA3" s="487"/>
      <c r="BB3" s="487" t="str">
        <f>'[1]إختيار المقررات'!BN25</f>
        <v>مهارات حاسوب  2</v>
      </c>
      <c r="BC3" s="495"/>
      <c r="BD3" s="488" t="str">
        <f>'[1]إختيار المقررات'!BN27</f>
        <v xml:space="preserve">ادارة الانتاج والعمليات </v>
      </c>
      <c r="BE3" s="489"/>
      <c r="BF3" s="489" t="str">
        <f>'[1]إختيار المقررات'!BN28</f>
        <v xml:space="preserve">الادارة المالية </v>
      </c>
      <c r="BG3" s="489"/>
      <c r="BH3" s="489" t="str">
        <f>'[1]إختيار المقررات'!BN29</f>
        <v xml:space="preserve">محاسبة تكاليف وادارية </v>
      </c>
      <c r="BI3" s="489"/>
      <c r="BJ3" s="489" t="str">
        <f>'[1]إختيار المقررات'!BN30</f>
        <v>الاتصالات التسويقية</v>
      </c>
      <c r="BK3" s="489"/>
      <c r="BL3" s="489" t="str">
        <f>'[1]إختيار المقررات'!BN31</f>
        <v xml:space="preserve">البيئة القانونية للاستثمار والعمل </v>
      </c>
      <c r="BM3" s="489"/>
      <c r="BN3" s="489" t="str">
        <f>'[1]إختيار المقررات'!BN32</f>
        <v xml:space="preserve">مراسلات ادارية باللغة الاجنبية </v>
      </c>
      <c r="BO3" s="489"/>
      <c r="BP3" s="494" t="str">
        <f>'[1]إختيار المقررات'!BN34</f>
        <v xml:space="preserve">ادارة المشروعات الصغيرة </v>
      </c>
      <c r="BQ3" s="487"/>
      <c r="BR3" s="487" t="str">
        <f>'[1]إختيار المقررات'!BN35</f>
        <v xml:space="preserve">الاتصالات الادارية </v>
      </c>
      <c r="BS3" s="487"/>
      <c r="BT3" s="487" t="str">
        <f>'[1]إختيار المقررات'!BN36</f>
        <v xml:space="preserve">المحاسبة المالية المتخصصة </v>
      </c>
      <c r="BU3" s="487"/>
      <c r="BV3" s="487" t="str">
        <f>'[1]إختيار المقررات'!BN37</f>
        <v xml:space="preserve">ادارة الموارد البشرية </v>
      </c>
      <c r="BW3" s="487"/>
      <c r="BX3" s="487" t="str">
        <f>'[1]إختيار المقررات'!BN38</f>
        <v>القانون التجاري</v>
      </c>
      <c r="BY3" s="487"/>
      <c r="BZ3" s="488" t="str">
        <f>'[1]إختيار المقررات'!BN39</f>
        <v xml:space="preserve">معلوماتية </v>
      </c>
      <c r="CA3" s="489"/>
      <c r="CB3" s="489" t="str">
        <f>'[1]إختيار المقررات'!BN41</f>
        <v xml:space="preserve">ادارة العلاقات العامة </v>
      </c>
      <c r="CC3" s="489"/>
      <c r="CD3" s="489" t="str">
        <f>'[1]إختيار المقررات'!BN42</f>
        <v>تطبيقات احصائية في الادارة</v>
      </c>
      <c r="CE3" s="489"/>
      <c r="CF3" s="489" t="str">
        <f>'[1]إختيار المقررات'!BN43</f>
        <v xml:space="preserve">سياسات التسعير والتوزيع </v>
      </c>
      <c r="CG3" s="489"/>
      <c r="CH3" s="489" t="str">
        <f>'[1]إختيار المقررات'!BN44</f>
        <v>نظم المعلومات الادارية</v>
      </c>
      <c r="CI3" s="489"/>
      <c r="CJ3" s="489" t="str">
        <f>'[1]إختيار المقررات'!BN45</f>
        <v xml:space="preserve">دراسات ادارية بلغة اجنبية </v>
      </c>
      <c r="CK3" s="489"/>
      <c r="CL3" s="489" t="str">
        <f>'[1]إختيار المقررات'!BN46</f>
        <v>نظرية المنظمة والتطوير التنظيمي</v>
      </c>
      <c r="CM3" s="489"/>
      <c r="CN3" s="494" t="str">
        <f>'[1]إختيار المقررات'!BN48</f>
        <v xml:space="preserve">ادارة الامداد في المشروعات الصغيرة </v>
      </c>
      <c r="CO3" s="487"/>
      <c r="CP3" s="487" t="str">
        <f>'[1]إختيار المقررات'!BN49</f>
        <v xml:space="preserve">ادارة الوقت </v>
      </c>
      <c r="CQ3" s="487"/>
      <c r="CR3" s="487" t="str">
        <f>'[1]إختيار المقررات'!BN50</f>
        <v xml:space="preserve">ادارة الجدوى وتقييم المشروعات </v>
      </c>
      <c r="CS3" s="487"/>
      <c r="CT3" s="487" t="str">
        <f>'[1]إختيار المقررات'!BN51</f>
        <v xml:space="preserve">ادارة الجودة في المشروعات الصغيرة </v>
      </c>
      <c r="CU3" s="487"/>
      <c r="CV3" s="487" t="str">
        <f>'[1]إختيار المقررات'!BN52</f>
        <v xml:space="preserve">الرقابة الادارية </v>
      </c>
      <c r="CW3" s="487"/>
      <c r="CX3" s="488" t="str">
        <f>'[1]إختيار المقررات'!BN53</f>
        <v xml:space="preserve">نظرية القررات الادارية </v>
      </c>
      <c r="CY3" s="489"/>
      <c r="CZ3" s="489" t="str">
        <f>'[1]إختيار المقررات'!BN55</f>
        <v xml:space="preserve">المسؤولية الاجتماعية واخلاقيات العمل </v>
      </c>
      <c r="DA3" s="489"/>
      <c r="DB3" s="489" t="str">
        <f>'[1]إختيار المقررات'!BN56</f>
        <v xml:space="preserve">ادارة المخاطر المالية والائتمان </v>
      </c>
      <c r="DC3" s="489"/>
      <c r="DD3" s="489" t="str">
        <f>'[1]إختيار المقررات'!BN57</f>
        <v xml:space="preserve">التجارة الالكترونية بلغة اجنبية </v>
      </c>
      <c r="DE3" s="489"/>
      <c r="DF3" s="489" t="str">
        <f>'[1]إختيار المقررات'!BN58</f>
        <v xml:space="preserve">السلوك التنظيمي </v>
      </c>
      <c r="DG3" s="489"/>
      <c r="DH3" s="489" t="str">
        <f>'[1]إختيار المقررات'!BN59</f>
        <v>استراتيجيات تنمية المشروعات الصغيرة</v>
      </c>
      <c r="DI3" s="489"/>
      <c r="DJ3" s="489" t="str">
        <f>'[1]إختيار المقررات'!BN60</f>
        <v xml:space="preserve">ادارة التنافس في المشروعات الصغيرة </v>
      </c>
      <c r="DK3" s="489"/>
      <c r="DL3" s="490" t="s">
        <v>43</v>
      </c>
      <c r="DM3" s="492" t="s">
        <v>0</v>
      </c>
      <c r="DN3" s="481" t="s">
        <v>44</v>
      </c>
      <c r="DO3" s="483" t="s">
        <v>69</v>
      </c>
      <c r="DP3" s="485" t="s">
        <v>213</v>
      </c>
      <c r="DQ3" s="486" t="s">
        <v>77</v>
      </c>
      <c r="DR3" s="477" t="s">
        <v>25</v>
      </c>
      <c r="DS3" s="477" t="s">
        <v>138</v>
      </c>
      <c r="DT3" s="477" t="s">
        <v>23</v>
      </c>
      <c r="DU3" s="477" t="s">
        <v>46</v>
      </c>
      <c r="DV3" s="478" t="s">
        <v>24</v>
      </c>
      <c r="DW3" s="478" t="s">
        <v>26</v>
      </c>
      <c r="DX3" s="479" t="s">
        <v>47</v>
      </c>
      <c r="DY3" s="469" t="s">
        <v>78</v>
      </c>
      <c r="DZ3" s="469" t="s">
        <v>79</v>
      </c>
      <c r="EA3" s="471" t="s">
        <v>48</v>
      </c>
      <c r="EB3" s="473" t="s">
        <v>83</v>
      </c>
      <c r="EC3" s="475" t="s">
        <v>82</v>
      </c>
      <c r="ED3" s="475" t="s">
        <v>81</v>
      </c>
      <c r="EE3" s="466" t="s">
        <v>80</v>
      </c>
      <c r="EF3" s="466" t="s">
        <v>246</v>
      </c>
      <c r="EG3" s="498"/>
      <c r="EH3" s="499"/>
      <c r="EI3" s="499"/>
      <c r="EJ3" s="499"/>
      <c r="EK3" s="499"/>
      <c r="EL3" s="499"/>
    </row>
    <row r="4" spans="1:145" s="56" customFormat="1" ht="24.9" customHeight="1" thickBot="1" x14ac:dyDescent="0.3">
      <c r="A4" s="53" t="s">
        <v>2</v>
      </c>
      <c r="B4" s="54" t="s">
        <v>39</v>
      </c>
      <c r="C4" s="54" t="s">
        <v>40</v>
      </c>
      <c r="D4" s="54" t="s">
        <v>41</v>
      </c>
      <c r="E4" s="54" t="s">
        <v>6</v>
      </c>
      <c r="F4" s="55" t="s">
        <v>7</v>
      </c>
      <c r="G4" s="530"/>
      <c r="H4" s="54"/>
      <c r="I4" s="54" t="s">
        <v>11</v>
      </c>
      <c r="J4" s="54" t="s">
        <v>10</v>
      </c>
      <c r="K4" s="523"/>
      <c r="L4" s="526"/>
      <c r="M4" s="528"/>
      <c r="N4" s="528"/>
      <c r="O4" s="535"/>
      <c r="P4" s="539"/>
      <c r="Q4" s="539"/>
      <c r="R4" s="541"/>
      <c r="S4" s="537"/>
      <c r="T4" s="468">
        <v>610</v>
      </c>
      <c r="U4" s="464"/>
      <c r="V4" s="464">
        <v>611</v>
      </c>
      <c r="W4" s="464"/>
      <c r="X4" s="464">
        <v>612</v>
      </c>
      <c r="Y4" s="464"/>
      <c r="Z4" s="464">
        <v>613</v>
      </c>
      <c r="AA4" s="464"/>
      <c r="AB4" s="464">
        <v>614</v>
      </c>
      <c r="AC4" s="464"/>
      <c r="AD4" s="464">
        <v>615</v>
      </c>
      <c r="AE4" s="465"/>
      <c r="AF4" s="468">
        <v>616</v>
      </c>
      <c r="AG4" s="464"/>
      <c r="AH4" s="464">
        <v>617</v>
      </c>
      <c r="AI4" s="464"/>
      <c r="AJ4" s="464">
        <v>618</v>
      </c>
      <c r="AK4" s="464"/>
      <c r="AL4" s="464">
        <v>619</v>
      </c>
      <c r="AM4" s="464"/>
      <c r="AN4" s="464">
        <v>620</v>
      </c>
      <c r="AO4" s="464"/>
      <c r="AP4" s="464">
        <v>621</v>
      </c>
      <c r="AQ4" s="465"/>
      <c r="AR4" s="461">
        <v>622</v>
      </c>
      <c r="AS4" s="462"/>
      <c r="AT4" s="461">
        <v>623</v>
      </c>
      <c r="AU4" s="462"/>
      <c r="AV4" s="461">
        <v>624</v>
      </c>
      <c r="AW4" s="462"/>
      <c r="AX4" s="461">
        <v>625</v>
      </c>
      <c r="AY4" s="462"/>
      <c r="AZ4" s="461">
        <v>626</v>
      </c>
      <c r="BA4" s="462"/>
      <c r="BB4" s="461">
        <v>627</v>
      </c>
      <c r="BC4" s="462"/>
      <c r="BD4" s="461">
        <v>628</v>
      </c>
      <c r="BE4" s="462"/>
      <c r="BF4" s="461">
        <v>629</v>
      </c>
      <c r="BG4" s="462"/>
      <c r="BH4" s="461">
        <v>630</v>
      </c>
      <c r="BI4" s="462"/>
      <c r="BJ4" s="461">
        <v>631</v>
      </c>
      <c r="BK4" s="462"/>
      <c r="BL4" s="461">
        <v>632</v>
      </c>
      <c r="BM4" s="462"/>
      <c r="BN4" s="461">
        <v>633</v>
      </c>
      <c r="BO4" s="462"/>
      <c r="BP4" s="461">
        <v>640</v>
      </c>
      <c r="BQ4" s="462"/>
      <c r="BR4" s="461">
        <v>641</v>
      </c>
      <c r="BS4" s="462"/>
      <c r="BT4" s="461">
        <v>642</v>
      </c>
      <c r="BU4" s="462"/>
      <c r="BV4" s="461">
        <v>643</v>
      </c>
      <c r="BW4" s="462"/>
      <c r="BX4" s="461">
        <v>644</v>
      </c>
      <c r="BY4" s="462"/>
      <c r="BZ4" s="461">
        <v>645</v>
      </c>
      <c r="CA4" s="462"/>
      <c r="CB4" s="461">
        <v>646</v>
      </c>
      <c r="CC4" s="462"/>
      <c r="CD4" s="461">
        <v>647</v>
      </c>
      <c r="CE4" s="462"/>
      <c r="CF4" s="461">
        <v>648</v>
      </c>
      <c r="CG4" s="462"/>
      <c r="CH4" s="461">
        <v>649</v>
      </c>
      <c r="CI4" s="462"/>
      <c r="CJ4" s="461">
        <v>650</v>
      </c>
      <c r="CK4" s="463"/>
      <c r="CL4" s="463">
        <v>651</v>
      </c>
      <c r="CM4" s="462"/>
      <c r="CN4" s="461">
        <v>660</v>
      </c>
      <c r="CO4" s="462"/>
      <c r="CP4" s="461">
        <v>661</v>
      </c>
      <c r="CQ4" s="462"/>
      <c r="CR4" s="461">
        <v>662</v>
      </c>
      <c r="CS4" s="462"/>
      <c r="CT4" s="461">
        <v>663</v>
      </c>
      <c r="CU4" s="462"/>
      <c r="CV4" s="461">
        <v>664</v>
      </c>
      <c r="CW4" s="462"/>
      <c r="CX4" s="461">
        <v>665</v>
      </c>
      <c r="CY4" s="462"/>
      <c r="CZ4" s="461">
        <v>666</v>
      </c>
      <c r="DA4" s="462"/>
      <c r="DB4" s="461">
        <v>667</v>
      </c>
      <c r="DC4" s="462"/>
      <c r="DD4" s="461">
        <v>668</v>
      </c>
      <c r="DE4" s="462"/>
      <c r="DF4" s="461">
        <v>669</v>
      </c>
      <c r="DG4" s="462"/>
      <c r="DH4" s="461">
        <v>670</v>
      </c>
      <c r="DI4" s="462"/>
      <c r="DJ4" s="461">
        <v>671</v>
      </c>
      <c r="DK4" s="462"/>
      <c r="DL4" s="491"/>
      <c r="DM4" s="493"/>
      <c r="DN4" s="482"/>
      <c r="DO4" s="484"/>
      <c r="DP4" s="485"/>
      <c r="DQ4" s="486"/>
      <c r="DR4" s="477"/>
      <c r="DS4" s="477"/>
      <c r="DT4" s="477"/>
      <c r="DU4" s="477"/>
      <c r="DV4" s="478"/>
      <c r="DW4" s="478"/>
      <c r="DX4" s="480"/>
      <c r="DY4" s="470"/>
      <c r="DZ4" s="470"/>
      <c r="EA4" s="472"/>
      <c r="EB4" s="474"/>
      <c r="EC4" s="476"/>
      <c r="ED4" s="476"/>
      <c r="EE4" s="467"/>
      <c r="EF4" s="467"/>
      <c r="EG4" s="500"/>
      <c r="EH4" s="501"/>
      <c r="EI4" s="501"/>
      <c r="EJ4" s="501"/>
      <c r="EK4" s="501"/>
      <c r="EL4" s="501"/>
      <c r="EO4" s="56" t="s">
        <v>247</v>
      </c>
    </row>
    <row r="5" spans="1:145" s="208" customFormat="1" ht="24.9" customHeight="1" x14ac:dyDescent="0.65">
      <c r="A5" s="194">
        <f>'اختيار المقررات'!E1</f>
        <v>0</v>
      </c>
      <c r="B5" s="194">
        <f>'اختيار المقررات'!L1</f>
        <v>0</v>
      </c>
      <c r="C5" s="194" t="e">
        <f>إختيار [2]المقررات!Q1</f>
        <v>#NAME?</v>
      </c>
      <c r="D5" s="194">
        <f>'اختيار المقررات'!W1</f>
        <v>0</v>
      </c>
      <c r="E5" s="194">
        <f>'اختيار المقررات'!AE1</f>
        <v>0</v>
      </c>
      <c r="F5" s="195">
        <f>'اختيار المقررات'!AB1</f>
        <v>0</v>
      </c>
      <c r="G5" s="194">
        <f>'اختيار المقررات'!AB3</f>
        <v>0</v>
      </c>
      <c r="H5" s="196">
        <f>'اختيار المقررات'!Q3</f>
        <v>0</v>
      </c>
      <c r="I5" s="194">
        <f>'اختيار المقررات'!E3</f>
        <v>0</v>
      </c>
      <c r="J5" s="197">
        <f>'اختيار المقررات'!L3</f>
        <v>0</v>
      </c>
      <c r="K5" s="198" t="str">
        <f>'اختيار المقررات'!W3</f>
        <v>غير سوري</v>
      </c>
      <c r="L5" s="198">
        <f>'اختيار المقررات'!AE3</f>
        <v>0</v>
      </c>
      <c r="M5" s="209">
        <f>'اختيار المقررات'!W4</f>
        <v>0</v>
      </c>
      <c r="N5" s="199">
        <f>'اختيار المقررات'!AB4</f>
        <v>0</v>
      </c>
      <c r="O5" s="197">
        <f>'اختيار المقررات'!AE4</f>
        <v>0</v>
      </c>
      <c r="P5" s="200">
        <f>'اختيار المقررات'!E4</f>
        <v>0</v>
      </c>
      <c r="Q5" s="194">
        <f>'اختيار المقررات'!L4</f>
        <v>0</v>
      </c>
      <c r="R5" s="197">
        <f>'اختيار المقررات'!Q4</f>
        <v>0</v>
      </c>
      <c r="S5" s="201">
        <f>'اختيار المقررات'!E2</f>
        <v>0</v>
      </c>
      <c r="T5" s="202">
        <f>'اختيار المقررات'!AX5</f>
        <v>0</v>
      </c>
      <c r="U5" s="203">
        <f>'اختيار المقررات'!I8</f>
        <v>0</v>
      </c>
      <c r="V5" s="212">
        <f>'اختيار المقررات'!AX6</f>
        <v>0</v>
      </c>
      <c r="W5" s="213">
        <f>'اختيار المقررات'!I9</f>
        <v>0</v>
      </c>
      <c r="X5" s="212">
        <f>'اختيار المقررات'!AX7</f>
        <v>0</v>
      </c>
      <c r="Y5" s="213">
        <f>'اختيار المقررات'!I10</f>
        <v>0</v>
      </c>
      <c r="Z5" s="212">
        <f>'اختيار المقررات'!AX8</f>
        <v>0</v>
      </c>
      <c r="AA5" s="213">
        <f>'اختيار المقررات'!I11</f>
        <v>0</v>
      </c>
      <c r="AB5" s="212">
        <f>'اختيار المقررات'!AX9</f>
        <v>0</v>
      </c>
      <c r="AC5" s="213">
        <f>'اختيار المقررات'!I12</f>
        <v>0</v>
      </c>
      <c r="AD5" s="202">
        <f>'اختيار المقررات'!AX10</f>
        <v>0</v>
      </c>
      <c r="AE5" s="203">
        <f>'اختيار المقررات'!I13</f>
        <v>0</v>
      </c>
      <c r="AF5" s="204">
        <f>'اختيار المقررات'!AX11</f>
        <v>0</v>
      </c>
      <c r="AG5" s="205">
        <f>'اختيار المقررات'!Q8</f>
        <v>0</v>
      </c>
      <c r="AH5" s="206">
        <f>'اختيار المقررات'!AX12</f>
        <v>0</v>
      </c>
      <c r="AI5" s="203">
        <f>'اختيار المقررات'!Q9</f>
        <v>0</v>
      </c>
      <c r="AJ5" s="204">
        <f>'اختيار المقررات'!AX13</f>
        <v>0</v>
      </c>
      <c r="AK5" s="203">
        <f>'اختيار المقررات'!Q10</f>
        <v>0</v>
      </c>
      <c r="AL5" s="204">
        <f>'اختيار المقررات'!AX14</f>
        <v>0</v>
      </c>
      <c r="AM5" s="203">
        <f>'اختيار المقررات'!Q11</f>
        <v>0</v>
      </c>
      <c r="AN5" s="204">
        <f>'اختيار المقررات'!AX15</f>
        <v>0</v>
      </c>
      <c r="AO5" s="203">
        <f>'اختيار المقررات'!I12</f>
        <v>0</v>
      </c>
      <c r="AP5" s="204">
        <f>'اختيار المقررات'!AX16</f>
        <v>0</v>
      </c>
      <c r="AQ5" s="203">
        <f>'اختيار المقررات'!I17</f>
        <v>0</v>
      </c>
      <c r="AR5" s="204">
        <f>'اختيار المقررات'!AX17</f>
        <v>0</v>
      </c>
      <c r="AS5" s="207">
        <f>'اختيار المقررات'!I18</f>
        <v>0</v>
      </c>
      <c r="AT5" s="202">
        <f>'اختيار المقررات'!AX18</f>
        <v>0</v>
      </c>
      <c r="AU5" s="203">
        <f>'اختيار المقررات'!I19</f>
        <v>0</v>
      </c>
      <c r="AV5" s="204">
        <f>'اختيار المقررات'!AX19</f>
        <v>0</v>
      </c>
      <c r="AW5" s="203">
        <f>'اختيار المقررات'!I20</f>
        <v>0</v>
      </c>
      <c r="AX5" s="203">
        <f>'اختيار المقررات'!AX20</f>
        <v>0</v>
      </c>
      <c r="AY5" s="203">
        <f>'اختيار المقررات'!I21</f>
        <v>0</v>
      </c>
      <c r="AZ5" s="204">
        <f>'اختيار المقررات'!AX21</f>
        <v>0</v>
      </c>
      <c r="BA5" s="203">
        <f>'اختيار المقررات'!I22</f>
        <v>0</v>
      </c>
      <c r="BB5" s="204">
        <f>'اختيار المقررات'!AX22</f>
        <v>0</v>
      </c>
      <c r="BC5" s="203">
        <f>'اختيار المقررات'!Q17</f>
        <v>0</v>
      </c>
      <c r="BD5" s="204">
        <f>'اختيار المقررات'!AX23</f>
        <v>0</v>
      </c>
      <c r="BE5" s="203">
        <f>'اختيار المقررات'!Q18</f>
        <v>0</v>
      </c>
      <c r="BF5" s="204">
        <f>'اختيار المقررات'!AX24</f>
        <v>0</v>
      </c>
      <c r="BG5" s="205">
        <f>'اختيار المقررات'!Q19</f>
        <v>0</v>
      </c>
      <c r="BH5" s="206">
        <f>'اختيار المقررات'!AX25</f>
        <v>0</v>
      </c>
      <c r="BI5" s="203">
        <f>'اختيار المقررات'!AY25</f>
        <v>0</v>
      </c>
      <c r="BJ5" s="204">
        <f>'اختيار المقررات'!AX26</f>
        <v>0</v>
      </c>
      <c r="BK5" s="203">
        <f>'اختيار المقررات'!AY26</f>
        <v>0</v>
      </c>
      <c r="BL5" s="204">
        <f>'اختيار المقررات'!AX27</f>
        <v>0</v>
      </c>
      <c r="BM5" s="203">
        <f>'اختيار المقررات'!AY27</f>
        <v>0</v>
      </c>
      <c r="BN5" s="204">
        <f>'اختيار المقررات'!AX28</f>
        <v>0</v>
      </c>
      <c r="BO5" s="203">
        <f>'اختيار المقررات'!AY28</f>
        <v>0</v>
      </c>
      <c r="BP5" s="204">
        <f>'اختيار المقررات'!AX29</f>
        <v>0</v>
      </c>
      <c r="BQ5" s="203">
        <f>'اختيار المقررات'!AY29</f>
        <v>0</v>
      </c>
      <c r="BR5" s="204">
        <f>'اختيار المقررات'!AX30</f>
        <v>0</v>
      </c>
      <c r="BS5" s="203">
        <f>'اختيار المقررات'!AY30</f>
        <v>0</v>
      </c>
      <c r="BT5" s="204">
        <f>'اختيار المقررات'!AX31</f>
        <v>0</v>
      </c>
      <c r="BU5" s="203">
        <f>'اختيار المقررات'!AY31</f>
        <v>0</v>
      </c>
      <c r="BV5" s="204">
        <f>'اختيار المقررات'!AX32</f>
        <v>0</v>
      </c>
      <c r="BW5" s="203">
        <f>'اختيار المقررات'!AY32</f>
        <v>0</v>
      </c>
      <c r="BX5" s="204">
        <f>'اختيار المقررات'!AX33</f>
        <v>0</v>
      </c>
      <c r="BY5" s="203">
        <f>'اختيار المقررات'!AY33</f>
        <v>0</v>
      </c>
      <c r="BZ5" s="204">
        <f>'اختيار المقررات'!AX34</f>
        <v>0</v>
      </c>
      <c r="CA5" s="203">
        <f>'اختيار المقررات'!AY34</f>
        <v>0</v>
      </c>
      <c r="CB5" s="204">
        <f>'اختيار المقررات'!AX35</f>
        <v>0</v>
      </c>
      <c r="CC5" s="203">
        <f>'اختيار المقررات'!AY35</f>
        <v>0</v>
      </c>
      <c r="CD5" s="204">
        <f>'اختيار المقررات'!AX36</f>
        <v>0</v>
      </c>
      <c r="CE5" s="203">
        <f>'اختيار المقررات'!AY36</f>
        <v>0</v>
      </c>
      <c r="CF5" s="204">
        <f>'اختيار المقررات'!AX37</f>
        <v>0</v>
      </c>
      <c r="CG5" s="203">
        <f>'اختيار المقررات'!AY37</f>
        <v>0</v>
      </c>
      <c r="CH5" s="204">
        <f>'اختيار المقررات'!AX38</f>
        <v>0</v>
      </c>
      <c r="CI5" s="203">
        <f>'اختيار المقررات'!AY38</f>
        <v>0</v>
      </c>
      <c r="CJ5" s="204">
        <f>'اختيار المقررات'!AX39</f>
        <v>0</v>
      </c>
      <c r="CK5" s="203">
        <f>'اختيار المقررات'!AY39</f>
        <v>0</v>
      </c>
      <c r="CL5" s="204">
        <f>'اختيار المقررات'!AX40</f>
        <v>0</v>
      </c>
      <c r="CM5" s="203">
        <f>'اختيار المقررات'!AY40</f>
        <v>0</v>
      </c>
      <c r="CN5" s="204">
        <f>'اختيار المقررات'!AX41</f>
        <v>0</v>
      </c>
      <c r="CO5" s="203">
        <f>'اختيار المقررات'!AY41</f>
        <v>0</v>
      </c>
      <c r="CP5" s="204">
        <f>'اختيار المقررات'!AX42</f>
        <v>0</v>
      </c>
      <c r="CQ5" s="203">
        <f>'اختيار المقررات'!AY42</f>
        <v>0</v>
      </c>
      <c r="CR5" s="204">
        <f>'اختيار المقررات'!AX43</f>
        <v>0</v>
      </c>
      <c r="CS5" s="203">
        <f>'اختيار المقررات'!AY43</f>
        <v>0</v>
      </c>
      <c r="CT5" s="204">
        <f>'اختيار المقررات'!AX44</f>
        <v>0</v>
      </c>
      <c r="CU5" s="203">
        <f>'اختيار المقررات'!AY44</f>
        <v>0</v>
      </c>
      <c r="CV5" s="204">
        <f>'اختيار المقررات'!AX45</f>
        <v>0</v>
      </c>
      <c r="CW5" s="203">
        <f>'اختيار المقررات'!AY45</f>
        <v>0</v>
      </c>
      <c r="CX5" s="204">
        <f>'اختيار المقررات'!AX46</f>
        <v>0</v>
      </c>
      <c r="CY5" s="203">
        <f>'اختيار المقررات'!AY46</f>
        <v>0</v>
      </c>
      <c r="CZ5" s="204">
        <f>'اختيار المقررات'!AX47</f>
        <v>0</v>
      </c>
      <c r="DA5" s="203">
        <f>'اختيار المقررات'!AY47</f>
        <v>0</v>
      </c>
      <c r="DB5" s="204">
        <f>'اختيار المقررات'!AX48</f>
        <v>0</v>
      </c>
      <c r="DC5" s="203">
        <f>'اختيار المقررات'!AY48</f>
        <v>0</v>
      </c>
      <c r="DD5" s="204">
        <f>'اختيار المقررات'!AX49</f>
        <v>0</v>
      </c>
      <c r="DE5" s="203">
        <f>'اختيار المقررات'!AY49</f>
        <v>0</v>
      </c>
      <c r="DF5" s="204">
        <f>'اختيار المقررات'!AX49</f>
        <v>0</v>
      </c>
      <c r="DG5" s="203">
        <f>'اختيار المقررات'!AY49</f>
        <v>0</v>
      </c>
      <c r="DH5" s="204">
        <f>'اختيار المقررات'!AX50</f>
        <v>0</v>
      </c>
      <c r="DI5" s="203">
        <f>'اختيار المقررات'!AY50</f>
        <v>0</v>
      </c>
      <c r="DJ5" s="204">
        <f>'اختيار المقررات'!AX51</f>
        <v>0</v>
      </c>
      <c r="DK5" s="203">
        <f>'اختيار المقررات'!AY51</f>
        <v>0</v>
      </c>
      <c r="DL5" s="138"/>
      <c r="DM5" s="139"/>
      <c r="DN5" s="140"/>
      <c r="DO5" s="141"/>
      <c r="DP5" s="142"/>
      <c r="DQ5" s="143">
        <f>'اختيار المقررات'!AD27</f>
        <v>12000</v>
      </c>
      <c r="DR5" s="143">
        <f>'اختيار المقررات'!N27</f>
        <v>0</v>
      </c>
      <c r="DS5" s="143">
        <f>'اختيار المقررات'!N28</f>
        <v>0</v>
      </c>
      <c r="DT5" s="144">
        <f>'اختيار المقررات'!W28</f>
        <v>12000</v>
      </c>
      <c r="DU5" s="143" t="str">
        <f>'اختيار المقررات'!N29</f>
        <v>لا</v>
      </c>
      <c r="DV5" s="143">
        <f>'اختيار المقررات'!W29</f>
        <v>12000</v>
      </c>
      <c r="DW5" s="143">
        <f>'اختيار المقررات'!AD29</f>
        <v>0</v>
      </c>
      <c r="DX5" s="138">
        <f>'اختيار المقررات'!V30</f>
        <v>0</v>
      </c>
      <c r="DY5" s="145">
        <f>'اختيار المقررات'!AB30</f>
        <v>0</v>
      </c>
      <c r="DZ5" s="143">
        <f>'اختيار المقررات'!AF30</f>
        <v>0</v>
      </c>
      <c r="EA5" s="146">
        <f>spm!DZ5+spm!DY5+spm!DX5</f>
        <v>0</v>
      </c>
      <c r="EB5" s="138" t="str">
        <f>'إدخال البيانات'!C8</f>
        <v>kkk</v>
      </c>
      <c r="EC5" s="139" t="str">
        <f>'إدخال البيانات'!D8</f>
        <v>kkkk</v>
      </c>
      <c r="ED5" s="139" t="str">
        <f>'إدخال البيانات'!E8</f>
        <v>kk</v>
      </c>
      <c r="EE5" s="146" t="str">
        <f>'إدخال البيانات'!F8</f>
        <v>kkk</v>
      </c>
      <c r="EF5" s="146">
        <f>'إدخال البيانات'!F2</f>
        <v>0</v>
      </c>
      <c r="EG5" s="146" t="s">
        <v>215</v>
      </c>
      <c r="EH5" s="146" t="s">
        <v>215</v>
      </c>
      <c r="EI5" s="146" t="s">
        <v>215</v>
      </c>
      <c r="EJ5" s="146" t="e">
        <v>#N/A</v>
      </c>
      <c r="EK5" s="146"/>
      <c r="EL5" s="146"/>
      <c r="EM5" s="146"/>
      <c r="EN5" s="146"/>
      <c r="EO5" s="146"/>
    </row>
    <row r="9" spans="1:145" x14ac:dyDescent="0.25">
      <c r="R9" s="214"/>
      <c r="T9" s="214"/>
      <c r="U9" s="1"/>
      <c r="V9" s="214"/>
      <c r="X9" s="214"/>
      <c r="Z9" s="214"/>
      <c r="AB9" s="214"/>
      <c r="AC9" s="214"/>
      <c r="AD9" s="214"/>
      <c r="AF9" s="214"/>
      <c r="AH9" s="214"/>
      <c r="AJ9" s="214"/>
      <c r="AL9" s="214"/>
      <c r="AN9" s="214"/>
      <c r="AP9" s="214"/>
      <c r="AR9" s="214"/>
      <c r="AT9" s="214"/>
      <c r="AV9" s="214"/>
      <c r="AX9" s="214"/>
      <c r="AZ9" s="214"/>
      <c r="BB9" s="214"/>
      <c r="BD9" s="214"/>
      <c r="BF9" s="214"/>
    </row>
  </sheetData>
  <mergeCells count="148">
    <mergeCell ref="B1:C1"/>
    <mergeCell ref="D1:J2"/>
    <mergeCell ref="K1:K4"/>
    <mergeCell ref="L1:L4"/>
    <mergeCell ref="M1:M4"/>
    <mergeCell ref="N1:N4"/>
    <mergeCell ref="G3:G4"/>
    <mergeCell ref="CZ3:DA3"/>
    <mergeCell ref="DB3:DC3"/>
    <mergeCell ref="T1:AQ1"/>
    <mergeCell ref="AR1:BO1"/>
    <mergeCell ref="BP1:CI1"/>
    <mergeCell ref="CN1:DG1"/>
    <mergeCell ref="O1:O4"/>
    <mergeCell ref="P1:R2"/>
    <mergeCell ref="S1:S4"/>
    <mergeCell ref="P3:P4"/>
    <mergeCell ref="Q3:Q4"/>
    <mergeCell ref="R3:R4"/>
    <mergeCell ref="V3:W3"/>
    <mergeCell ref="AF2:AQ2"/>
    <mergeCell ref="AR2:BC2"/>
    <mergeCell ref="BD2:BO2"/>
    <mergeCell ref="BP2:BY2"/>
    <mergeCell ref="BZ2:CI2"/>
    <mergeCell ref="EG1:EL4"/>
    <mergeCell ref="T2:AE2"/>
    <mergeCell ref="T3:U3"/>
    <mergeCell ref="DL1:DN2"/>
    <mergeCell ref="DO1:DO2"/>
    <mergeCell ref="DP1:DW2"/>
    <mergeCell ref="DX1:EA2"/>
    <mergeCell ref="EB1:EE2"/>
    <mergeCell ref="CN2:CW2"/>
    <mergeCell ref="CX2:DG2"/>
    <mergeCell ref="AJ3:AK3"/>
    <mergeCell ref="AL3:AM3"/>
    <mergeCell ref="AN3:AO3"/>
    <mergeCell ref="AP3:AQ3"/>
    <mergeCell ref="AR3:AS3"/>
    <mergeCell ref="AT3:AU3"/>
    <mergeCell ref="X3:Y3"/>
    <mergeCell ref="Z3:AA3"/>
    <mergeCell ref="AB3:AC3"/>
    <mergeCell ref="AD3:AE3"/>
    <mergeCell ref="AF3:AG3"/>
    <mergeCell ref="AH3:AI3"/>
    <mergeCell ref="BH3:BI3"/>
    <mergeCell ref="BJ3:BK3"/>
    <mergeCell ref="BL3:BM3"/>
    <mergeCell ref="BN3:BO3"/>
    <mergeCell ref="BP3:BQ3"/>
    <mergeCell ref="BR3:BS3"/>
    <mergeCell ref="AV3:AW3"/>
    <mergeCell ref="AX3:AY3"/>
    <mergeCell ref="AZ3:BA3"/>
    <mergeCell ref="BB3:BC3"/>
    <mergeCell ref="BD3:BE3"/>
    <mergeCell ref="BF3:BG3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CR3:CS3"/>
    <mergeCell ref="CT3:CU3"/>
    <mergeCell ref="CV3:CW3"/>
    <mergeCell ref="CX3:CY3"/>
    <mergeCell ref="DL3:DL4"/>
    <mergeCell ref="DM3:DM4"/>
    <mergeCell ref="CT4:CU4"/>
    <mergeCell ref="CV4:CW4"/>
    <mergeCell ref="CX4:CY4"/>
    <mergeCell ref="DD3:DE3"/>
    <mergeCell ref="DF3:DG3"/>
    <mergeCell ref="DH3:DI3"/>
    <mergeCell ref="DJ3:DK3"/>
    <mergeCell ref="CZ4:DA4"/>
    <mergeCell ref="DB4:DC4"/>
    <mergeCell ref="DD4:DE4"/>
    <mergeCell ref="DF4:DG4"/>
    <mergeCell ref="DH4:DI4"/>
    <mergeCell ref="DJ4:DK4"/>
    <mergeCell ref="DV3:DV4"/>
    <mergeCell ref="DW3:DW4"/>
    <mergeCell ref="DX3:DX4"/>
    <mergeCell ref="DY3:DY4"/>
    <mergeCell ref="DN3:DN4"/>
    <mergeCell ref="DO3:DO4"/>
    <mergeCell ref="DP3:DP4"/>
    <mergeCell ref="DQ3:DQ4"/>
    <mergeCell ref="DR3:DR4"/>
    <mergeCell ref="DS3:DS4"/>
    <mergeCell ref="AL4:AM4"/>
    <mergeCell ref="AN4:AO4"/>
    <mergeCell ref="AP4:AQ4"/>
    <mergeCell ref="AR4:AS4"/>
    <mergeCell ref="AT4:AU4"/>
    <mergeCell ref="AV4:AW4"/>
    <mergeCell ref="EF3:EF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DZ3:DZ4"/>
    <mergeCell ref="EA3:EA4"/>
    <mergeCell ref="EB3:EB4"/>
    <mergeCell ref="EC3:EC4"/>
    <mergeCell ref="ED3:ED4"/>
    <mergeCell ref="EE3:EE4"/>
    <mergeCell ref="DT3:DT4"/>
    <mergeCell ref="DU3:DU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</mergeCells>
  <conditionalFormatting sqref="A1:A2">
    <cfRule type="duplicateValues" dxfId="8" priority="3"/>
    <cfRule type="duplicateValues" dxfId="7" priority="6"/>
    <cfRule type="duplicateValues" dxfId="6" priority="9"/>
  </conditionalFormatting>
  <conditionalFormatting sqref="A5:B5">
    <cfRule type="duplicateValues" dxfId="5" priority="1"/>
    <cfRule type="duplicateValues" dxfId="4" priority="2"/>
    <cfRule type="duplicateValues" dxfId="3" priority="4"/>
    <cfRule type="duplicateValues" dxfId="2" priority="5"/>
    <cfRule type="duplicateValues" dxfId="1" priority="7"/>
    <cfRule type="duplicateValues" dxfId="0" priority="8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1</vt:i4>
      </vt:variant>
    </vt:vector>
  </HeadingPairs>
  <TitlesOfParts>
    <vt:vector size="6" baseType="lpstr">
      <vt:lpstr>تعليمات التسجيل</vt:lpstr>
      <vt:lpstr>إدخال البيانات</vt:lpstr>
      <vt:lpstr>اختيار المقررات</vt:lpstr>
      <vt:lpstr>الإستمارة</vt:lpstr>
      <vt:lpstr>spm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lenovo-lap</cp:lastModifiedBy>
  <cp:revision/>
  <cp:lastPrinted>2023-05-22T22:57:18Z</cp:lastPrinted>
  <dcterms:created xsi:type="dcterms:W3CDTF">2015-06-05T18:17:20Z</dcterms:created>
  <dcterms:modified xsi:type="dcterms:W3CDTF">2025-03-18T07:42:01Z</dcterms:modified>
</cp:coreProperties>
</file>